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2.xml" ContentType="application/vnd.openxmlformats-officedocument.drawing+xml"/>
  <Override PartName="/xl/comments1.xml" ContentType="application/vnd.openxmlformats-officedocument.spreadsheetml.comments+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3.xml" ContentType="application/vnd.openxmlformats-officedocument.drawing+xml"/>
  <Override PartName="/xl/comments2.xml" ContentType="application/vnd.openxmlformats-officedocument.spreadsheetml.comment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4.xml" ContentType="application/vnd.openxmlformats-officedocument.drawing+xml"/>
  <Override PartName="/xl/comments3.xml" ContentType="application/vnd.openxmlformats-officedocument.spreadsheetml.comments+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5.xml" ContentType="application/vnd.openxmlformats-officedocument.drawing+xml"/>
  <Override PartName="/xl/comments4.xml" ContentType="application/vnd.openxmlformats-officedocument.spreadsheetml.comments+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6.xml" ContentType="application/vnd.openxmlformats-officedocument.drawing+xml"/>
  <Override PartName="/xl/comments5.xml" ContentType="application/vnd.openxmlformats-officedocument.spreadsheetml.comments+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7.xml" ContentType="application/vnd.openxmlformats-officedocument.drawing+xml"/>
  <Override PartName="/xl/comments6.xml" ContentType="application/vnd.openxmlformats-officedocument.spreadsheetml.comments+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8.xml" ContentType="application/vnd.openxmlformats-officedocument.drawing+xml"/>
  <Override PartName="/xl/drawings/drawing9.xml" ContentType="application/vnd.openxmlformats-officedocument.drawing+xml"/>
  <Override PartName="/xl/comments7.xml" ContentType="application/vnd.openxmlformats-officedocument.spreadsheetml.comments+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drawings/drawing10.xml" ContentType="application/vnd.openxmlformats-officedocument.drawing+xml"/>
  <Override PartName="/xl/charts/chart20.xml" ContentType="application/vnd.openxmlformats-officedocument.drawingml.chart+xml"/>
  <Override PartName="/xl/charts/style20.xml" ContentType="application/vnd.ms-office.chartstyle+xml"/>
  <Override PartName="/xl/charts/colors20.xml" ContentType="application/vnd.ms-office.chartcolorstyle+xml"/>
  <Override PartName="/xl/charts/chart21.xml" ContentType="application/vnd.openxmlformats-officedocument.drawingml.chart+xml"/>
  <Override PartName="/xl/charts/style21.xml" ContentType="application/vnd.ms-office.chartstyle+xml"/>
  <Override PartName="/xl/charts/colors21.xml" ContentType="application/vnd.ms-office.chartcolorstyle+xml"/>
  <Override PartName="/xl/charts/chart22.xml" ContentType="application/vnd.openxmlformats-officedocument.drawingml.chart+xml"/>
  <Override PartName="/xl/charts/style22.xml" ContentType="application/vnd.ms-office.chartstyle+xml"/>
  <Override PartName="/xl/charts/colors22.xml" ContentType="application/vnd.ms-office.chartcolorstyle+xml"/>
  <Override PartName="/xl/charts/chart23.xml" ContentType="application/vnd.openxmlformats-officedocument.drawingml.chart+xml"/>
  <Override PartName="/xl/charts/style23.xml" ContentType="application/vnd.ms-office.chartstyle+xml"/>
  <Override PartName="/xl/charts/colors23.xml" ContentType="application/vnd.ms-office.chartcolorstyle+xml"/>
  <Override PartName="/xl/charts/chart24.xml" ContentType="application/vnd.openxmlformats-officedocument.drawingml.chart+xml"/>
  <Override PartName="/xl/charts/style24.xml" ContentType="application/vnd.ms-office.chartstyle+xml"/>
  <Override PartName="/xl/charts/colors24.xml" ContentType="application/vnd.ms-office.chartcolorstyle+xml"/>
  <Override PartName="/xl/charts/chart25.xml" ContentType="application/vnd.openxmlformats-officedocument.drawingml.chart+xml"/>
  <Override PartName="/xl/charts/style25.xml" ContentType="application/vnd.ms-office.chartstyle+xml"/>
  <Override PartName="/xl/charts/colors25.xml" ContentType="application/vnd.ms-office.chartcolorstyle+xml"/>
  <Override PartName="/xl/charts/chart26.xml" ContentType="application/vnd.openxmlformats-officedocument.drawingml.chart+xml"/>
  <Override PartName="/xl/charts/style26.xml" ContentType="application/vnd.ms-office.chartstyle+xml"/>
  <Override PartName="/xl/charts/colors26.xml" ContentType="application/vnd.ms-office.chartcolorstyle+xml"/>
  <Override PartName="/xl/charts/chart27.xml" ContentType="application/vnd.openxmlformats-officedocument.drawingml.chart+xml"/>
  <Override PartName="/xl/charts/style27.xml" ContentType="application/vnd.ms-office.chartstyle+xml"/>
  <Override PartName="/xl/charts/colors27.xml" ContentType="application/vnd.ms-office.chartcolorstyle+xml"/>
  <Override PartName="/xl/drawings/drawing11.xml" ContentType="application/vnd.openxmlformats-officedocument.drawing+xml"/>
  <Override PartName="/xl/comments8.xml" ContentType="application/vnd.openxmlformats-officedocument.spreadsheetml.comments+xml"/>
  <Override PartName="/xl/charts/chart28.xml" ContentType="application/vnd.openxmlformats-officedocument.drawingml.chart+xml"/>
  <Override PartName="/xl/charts/style28.xml" ContentType="application/vnd.ms-office.chartstyle+xml"/>
  <Override PartName="/xl/charts/colors28.xml" ContentType="application/vnd.ms-office.chartcolorstyle+xml"/>
  <Override PartName="/xl/charts/chart29.xml" ContentType="application/vnd.openxmlformats-officedocument.drawingml.chart+xml"/>
  <Override PartName="/xl/charts/style29.xml" ContentType="application/vnd.ms-office.chartstyle+xml"/>
  <Override PartName="/xl/charts/colors29.xml" ContentType="application/vnd.ms-office.chartcolorstyle+xml"/>
  <Override PartName="/xl/charts/chart30.xml" ContentType="application/vnd.openxmlformats-officedocument.drawingml.chart+xml"/>
  <Override PartName="/xl/charts/style30.xml" ContentType="application/vnd.ms-office.chartstyle+xml"/>
  <Override PartName="/xl/charts/colors30.xml" ContentType="application/vnd.ms-office.chartcolorstyle+xml"/>
  <Override PartName="/xl/charts/chart31.xml" ContentType="application/vnd.openxmlformats-officedocument.drawingml.chart+xml"/>
  <Override PartName="/xl/charts/style31.xml" ContentType="application/vnd.ms-office.chartstyle+xml"/>
  <Override PartName="/xl/charts/colors31.xml" ContentType="application/vnd.ms-office.chartcolorstyle+xml"/>
  <Override PartName="/xl/charts/chart32.xml" ContentType="application/vnd.openxmlformats-officedocument.drawingml.chart+xml"/>
  <Override PartName="/xl/charts/style32.xml" ContentType="application/vnd.ms-office.chartstyle+xml"/>
  <Override PartName="/xl/charts/colors32.xml" ContentType="application/vnd.ms-office.chartcolorstyle+xml"/>
  <Override PartName="/xl/charts/chart33.xml" ContentType="application/vnd.openxmlformats-officedocument.drawingml.chart+xml"/>
  <Override PartName="/xl/charts/style33.xml" ContentType="application/vnd.ms-office.chartstyle+xml"/>
  <Override PartName="/xl/charts/colors33.xml" ContentType="application/vnd.ms-office.chartcolorstyle+xml"/>
  <Override PartName="/xl/charts/chart34.xml" ContentType="application/vnd.openxmlformats-officedocument.drawingml.chart+xml"/>
  <Override PartName="/xl/charts/style34.xml" ContentType="application/vnd.ms-office.chartstyle+xml"/>
  <Override PartName="/xl/charts/colors34.xml" ContentType="application/vnd.ms-office.chartcolorstyle+xml"/>
  <Override PartName="/xl/charts/chart35.xml" ContentType="application/vnd.openxmlformats-officedocument.drawingml.chart+xml"/>
  <Override PartName="/xl/charts/style35.xml" ContentType="application/vnd.ms-office.chartstyle+xml"/>
  <Override PartName="/xl/charts/colors35.xml" ContentType="application/vnd.ms-office.chartcolorstyle+xml"/>
  <Override PartName="/xl/charts/chart36.xml" ContentType="application/vnd.openxmlformats-officedocument.drawingml.chart+xml"/>
  <Override PartName="/xl/charts/style36.xml" ContentType="application/vnd.ms-office.chartstyle+xml"/>
  <Override PartName="/xl/charts/colors36.xml" ContentType="application/vnd.ms-office.chartcolorstyle+xml"/>
  <Override PartName="/xl/charts/chart37.xml" ContentType="application/vnd.openxmlformats-officedocument.drawingml.chart+xml"/>
  <Override PartName="/xl/charts/style37.xml" ContentType="application/vnd.ms-office.chartstyle+xml"/>
  <Override PartName="/xl/charts/colors37.xml" ContentType="application/vnd.ms-office.chartcolorstyle+xml"/>
  <Override PartName="/xl/charts/chart38.xml" ContentType="application/vnd.openxmlformats-officedocument.drawingml.chart+xml"/>
  <Override PartName="/xl/charts/style38.xml" ContentType="application/vnd.ms-office.chartstyle+xml"/>
  <Override PartName="/xl/charts/colors38.xml" ContentType="application/vnd.ms-office.chartcolorstyle+xml"/>
  <Override PartName="/xl/charts/chart39.xml" ContentType="application/vnd.openxmlformats-officedocument.drawingml.chart+xml"/>
  <Override PartName="/xl/charts/style39.xml" ContentType="application/vnd.ms-office.chartstyle+xml"/>
  <Override PartName="/xl/charts/colors39.xml" ContentType="application/vnd.ms-office.chartcolorstyle+xml"/>
  <Override PartName="/xl/charts/chart40.xml" ContentType="application/vnd.openxmlformats-officedocument.drawingml.chart+xml"/>
  <Override PartName="/xl/charts/style40.xml" ContentType="application/vnd.ms-office.chartstyle+xml"/>
  <Override PartName="/xl/charts/colors40.xml" ContentType="application/vnd.ms-office.chartcolorstyle+xml"/>
  <Override PartName="/xl/charts/chart41.xml" ContentType="application/vnd.openxmlformats-officedocument.drawingml.chart+xml"/>
  <Override PartName="/xl/charts/style41.xml" ContentType="application/vnd.ms-office.chartstyle+xml"/>
  <Override PartName="/xl/charts/colors41.xml" ContentType="application/vnd.ms-office.chartcolorstyle+xml"/>
  <Override PartName="/xl/charts/chart42.xml" ContentType="application/vnd.openxmlformats-officedocument.drawingml.chart+xml"/>
  <Override PartName="/xl/charts/style42.xml" ContentType="application/vnd.ms-office.chartstyle+xml"/>
  <Override PartName="/xl/charts/colors42.xml" ContentType="application/vnd.ms-office.chartcolorstyle+xml"/>
  <Override PartName="/xl/charts/chart43.xml" ContentType="application/vnd.openxmlformats-officedocument.drawingml.chart+xml"/>
  <Override PartName="/xl/charts/style43.xml" ContentType="application/vnd.ms-office.chartstyle+xml"/>
  <Override PartName="/xl/charts/colors43.xml" ContentType="application/vnd.ms-office.chartcolorstyle+xml"/>
  <Override PartName="/xl/charts/chart44.xml" ContentType="application/vnd.openxmlformats-officedocument.drawingml.chart+xml"/>
  <Override PartName="/xl/charts/style44.xml" ContentType="application/vnd.ms-office.chartstyle+xml"/>
  <Override PartName="/xl/charts/colors44.xml" ContentType="application/vnd.ms-office.chartcolorstyle+xml"/>
  <Override PartName="/xl/drawings/drawing12.xml" ContentType="application/vnd.openxmlformats-officedocument.drawing+xml"/>
  <Override PartName="/xl/comments9.xml" ContentType="application/vnd.openxmlformats-officedocument.spreadsheetml.comments+xml"/>
  <Override PartName="/xl/charts/chart45.xml" ContentType="application/vnd.openxmlformats-officedocument.drawingml.chart+xml"/>
  <Override PartName="/xl/charts/style45.xml" ContentType="application/vnd.ms-office.chartstyle+xml"/>
  <Override PartName="/xl/charts/colors45.xml" ContentType="application/vnd.ms-office.chartcolorstyle+xml"/>
  <Override PartName="/xl/charts/chart46.xml" ContentType="application/vnd.openxmlformats-officedocument.drawingml.chart+xml"/>
  <Override PartName="/xl/charts/style46.xml" ContentType="application/vnd.ms-office.chartstyle+xml"/>
  <Override PartName="/xl/charts/colors46.xml" ContentType="application/vnd.ms-office.chartcolorstyle+xml"/>
  <Override PartName="/xl/drawings/drawing13.xml" ContentType="application/vnd.openxmlformats-officedocument.drawing+xml"/>
  <Override PartName="/xl/comments10.xml" ContentType="application/vnd.openxmlformats-officedocument.spreadsheetml.comments+xml"/>
  <Override PartName="/xl/charts/chart47.xml" ContentType="application/vnd.openxmlformats-officedocument.drawingml.chart+xml"/>
  <Override PartName="/xl/charts/style47.xml" ContentType="application/vnd.ms-office.chartstyle+xml"/>
  <Override PartName="/xl/charts/colors47.xml" ContentType="application/vnd.ms-office.chartcolorstyle+xml"/>
  <Override PartName="/xl/drawings/drawing14.xml" ContentType="application/vnd.openxmlformats-officedocument.drawing+xml"/>
  <Override PartName="/xl/comments11.xml" ContentType="application/vnd.openxmlformats-officedocument.spreadsheetml.comments+xml"/>
  <Override PartName="/xl/charts/chart48.xml" ContentType="application/vnd.openxmlformats-officedocument.drawingml.chart+xml"/>
  <Override PartName="/xl/drawings/drawing15.xml" ContentType="application/vnd.openxmlformats-officedocument.drawing+xml"/>
  <Override PartName="/xl/comments12.xml" ContentType="application/vnd.openxmlformats-officedocument.spreadsheetml.comments+xml"/>
  <Override PartName="/xl/charts/chart49.xml" ContentType="application/vnd.openxmlformats-officedocument.drawingml.chart+xml"/>
  <Override PartName="/xl/charts/style48.xml" ContentType="application/vnd.ms-office.chartstyle+xml"/>
  <Override PartName="/xl/charts/colors48.xml" ContentType="application/vnd.ms-office.chartcolorstyle+xml"/>
  <Override PartName="/xl/drawings/drawing16.xml" ContentType="application/vnd.openxmlformats-officedocument.drawing+xml"/>
  <Override PartName="/xl/comments13.xml" ContentType="application/vnd.openxmlformats-officedocument.spreadsheetml.comments+xml"/>
  <Override PartName="/xl/charts/chart50.xml" ContentType="application/vnd.openxmlformats-officedocument.drawingml.chart+xml"/>
  <Override PartName="/xl/charts/style49.xml" ContentType="application/vnd.ms-office.chartstyle+xml"/>
  <Override PartName="/xl/charts/colors49.xml" ContentType="application/vnd.ms-office.chartcolorstyle+xml"/>
  <Override PartName="/xl/drawings/drawing17.xml" ContentType="application/vnd.openxmlformats-officedocument.drawing+xml"/>
  <Override PartName="/xl/comments14.xml" ContentType="application/vnd.openxmlformats-officedocument.spreadsheetml.comments+xml"/>
  <Override PartName="/xl/charts/chart51.xml" ContentType="application/vnd.openxmlformats-officedocument.drawingml.chart+xml"/>
  <Override PartName="/xl/drawings/drawing18.xml" ContentType="application/vnd.openxmlformats-officedocument.drawing+xml"/>
  <Override PartName="/xl/comments15.xml" ContentType="application/vnd.openxmlformats-officedocument.spreadsheetml.comments+xml"/>
  <Override PartName="/xl/charts/chart52.xml" ContentType="application/vnd.openxmlformats-officedocument.drawingml.chart+xml"/>
  <Override PartName="/xl/charts/style50.xml" ContentType="application/vnd.ms-office.chartstyle+xml"/>
  <Override PartName="/xl/charts/colors50.xml" ContentType="application/vnd.ms-office.chartcolorstyle+xml"/>
  <Override PartName="/xl/drawings/drawing19.xml" ContentType="application/vnd.openxmlformats-officedocument.drawing+xml"/>
  <Override PartName="/xl/comments16.xml" ContentType="application/vnd.openxmlformats-officedocument.spreadsheetml.comments+xml"/>
  <Override PartName="/xl/charts/chart53.xml" ContentType="application/vnd.openxmlformats-officedocument.drawingml.chart+xml"/>
  <Override PartName="/xl/charts/style51.xml" ContentType="application/vnd.ms-office.chartstyle+xml"/>
  <Override PartName="/xl/charts/colors51.xml" ContentType="application/vnd.ms-office.chartcolorstyle+xml"/>
  <Override PartName="/xl/drawings/drawing20.xml" ContentType="application/vnd.openxmlformats-officedocument.drawing+xml"/>
  <Override PartName="/xl/charts/chart54.xml" ContentType="application/vnd.openxmlformats-officedocument.drawingml.chart+xml"/>
  <Override PartName="/xl/charts/style52.xml" ContentType="application/vnd.ms-office.chartstyle+xml"/>
  <Override PartName="/xl/charts/colors52.xml" ContentType="application/vnd.ms-office.chartcolorstyle+xml"/>
  <Override PartName="/xl/drawings/drawing21.xml" ContentType="application/vnd.openxmlformats-officedocument.drawing+xml"/>
  <Override PartName="/xl/comments17.xml" ContentType="application/vnd.openxmlformats-officedocument.spreadsheetml.comments+xml"/>
  <Override PartName="/xl/charts/chart55.xml" ContentType="application/vnd.openxmlformats-officedocument.drawingml.chart+xml"/>
  <Override PartName="/xl/charts/chart56.xml" ContentType="application/vnd.openxmlformats-officedocument.drawingml.chart+xml"/>
  <Override PartName="/xl/charts/style53.xml" ContentType="application/vnd.ms-office.chartstyle+xml"/>
  <Override PartName="/xl/charts/colors53.xml" ContentType="application/vnd.ms-office.chartcolorstyle+xml"/>
  <Override PartName="/xl/drawings/drawing22.xml" ContentType="application/vnd.openxmlformats-officedocument.drawing+xml"/>
  <Override PartName="/xl/comments18.xml" ContentType="application/vnd.openxmlformats-officedocument.spreadsheetml.comments+xml"/>
  <Override PartName="/xl/charts/chart57.xml" ContentType="application/vnd.openxmlformats-officedocument.drawingml.chart+xml"/>
  <Override PartName="/xl/charts/style54.xml" ContentType="application/vnd.ms-office.chartstyle+xml"/>
  <Override PartName="/xl/charts/colors54.xml" ContentType="application/vnd.ms-office.chartcolorstyle+xml"/>
  <Override PartName="/xl/drawings/drawing23.xml" ContentType="application/vnd.openxmlformats-officedocument.drawing+xml"/>
  <Override PartName="/xl/comments19.xml" ContentType="application/vnd.openxmlformats-officedocument.spreadsheetml.comments+xml"/>
  <Override PartName="/xl/charts/chart58.xml" ContentType="application/vnd.openxmlformats-officedocument.drawingml.chart+xml"/>
  <Override PartName="/xl/charts/style55.xml" ContentType="application/vnd.ms-office.chartstyle+xml"/>
  <Override PartName="/xl/charts/colors55.xml" ContentType="application/vnd.ms-office.chartcolorstyle+xml"/>
  <Override PartName="/xl/drawings/drawing24.xml" ContentType="application/vnd.openxmlformats-officedocument.drawing+xml"/>
  <Override PartName="/xl/charts/chart59.xml" ContentType="application/vnd.openxmlformats-officedocument.drawingml.chart+xml"/>
  <Override PartName="/xl/charts/style56.xml" ContentType="application/vnd.ms-office.chartstyle+xml"/>
  <Override PartName="/xl/charts/colors56.xml" ContentType="application/vnd.ms-office.chartcolorstyle+xml"/>
  <Override PartName="/xl/drawings/drawing25.xml" ContentType="application/vnd.openxmlformats-officedocument.drawing+xml"/>
  <Override PartName="/xl/charts/chart60.xml" ContentType="application/vnd.openxmlformats-officedocument.drawingml.chart+xml"/>
  <Override PartName="/xl/charts/style57.xml" ContentType="application/vnd.ms-office.chartstyle+xml"/>
  <Override PartName="/xl/charts/colors57.xml" ContentType="application/vnd.ms-office.chartcolorstyle+xml"/>
  <Override PartName="/xl/drawings/drawing26.xml" ContentType="application/vnd.openxmlformats-officedocument.drawing+xml"/>
  <Override PartName="/xl/comments20.xml" ContentType="application/vnd.openxmlformats-officedocument.spreadsheetml.comments+xml"/>
  <Override PartName="/xl/threadedComments/threadedComment1.xml" ContentType="application/vnd.ms-excel.threadedcomments+xml"/>
  <Override PartName="/xl/charts/chart61.xml" ContentType="application/vnd.openxmlformats-officedocument.drawingml.chart+xml"/>
  <Override PartName="/xl/charts/style58.xml" ContentType="application/vnd.ms-office.chartstyle+xml"/>
  <Override PartName="/xl/charts/colors58.xml" ContentType="application/vnd.ms-office.chartcolorstyle+xml"/>
  <Override PartName="/xl/drawings/drawing27.xml" ContentType="application/vnd.openxmlformats-officedocument.drawing+xml"/>
  <Override PartName="/xl/charts/chart62.xml" ContentType="application/vnd.openxmlformats-officedocument.drawingml.chart+xml"/>
  <Override PartName="/xl/charts/style59.xml" ContentType="application/vnd.ms-office.chartstyle+xml"/>
  <Override PartName="/xl/charts/colors59.xml" ContentType="application/vnd.ms-office.chartcolorstyle+xml"/>
  <Override PartName="/xl/drawings/drawing28.xml" ContentType="application/vnd.openxmlformats-officedocument.drawing+xml"/>
  <Override PartName="/xl/charts/chart63.xml" ContentType="application/vnd.openxmlformats-officedocument.drawingml.chart+xml"/>
  <Override PartName="/xl/charts/style60.xml" ContentType="application/vnd.ms-office.chartstyle+xml"/>
  <Override PartName="/xl/charts/colors60.xml" ContentType="application/vnd.ms-office.chartcolorstyle+xml"/>
  <Override PartName="/xl/drawings/drawing29.xml" ContentType="application/vnd.openxmlformats-officedocument.drawing+xml"/>
  <Override PartName="/xl/charts/chart64.xml" ContentType="application/vnd.openxmlformats-officedocument.drawingml.chart+xml"/>
  <Override PartName="/xl/charts/style61.xml" ContentType="application/vnd.ms-office.chartstyle+xml"/>
  <Override PartName="/xl/charts/colors61.xml" ContentType="application/vnd.ms-office.chartcolorstyle+xml"/>
  <Override PartName="/xl/drawings/drawing30.xml" ContentType="application/vnd.openxmlformats-officedocument.drawing+xml"/>
  <Override PartName="/xl/comments21.xml" ContentType="application/vnd.openxmlformats-officedocument.spreadsheetml.comments+xml"/>
  <Override PartName="/xl/charts/chart65.xml" ContentType="application/vnd.openxmlformats-officedocument.drawingml.chart+xml"/>
  <Override PartName="/xl/charts/style62.xml" ContentType="application/vnd.ms-office.chartstyle+xml"/>
  <Override PartName="/xl/charts/colors62.xml" ContentType="application/vnd.ms-office.chartcolorstyle+xml"/>
  <Override PartName="/xl/drawings/drawing31.xml" ContentType="application/vnd.openxmlformats-officedocument.drawing+xml"/>
  <Override PartName="/xl/comments22.xml" ContentType="application/vnd.openxmlformats-officedocument.spreadsheetml.comments+xml"/>
  <Override PartName="/xl/charts/chart66.xml" ContentType="application/vnd.openxmlformats-officedocument.drawingml.chart+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defaultThemeVersion="166925"/>
  <mc:AlternateContent xmlns:mc="http://schemas.openxmlformats.org/markup-compatibility/2006">
    <mc:Choice Requires="x15">
      <x15ac:absPath xmlns:x15ac="http://schemas.microsoft.com/office/spreadsheetml/2010/11/ac" url="C:\Users\gestion.humana\Downloads\"/>
    </mc:Choice>
  </mc:AlternateContent>
  <xr:revisionPtr revIDLastSave="0" documentId="13_ncr:1_{93F14776-63B1-4415-A538-AA0F3333FE79}" xr6:coauthVersionLast="47" xr6:coauthVersionMax="47" xr10:uidLastSave="{00000000-0000-0000-0000-000000000000}"/>
  <bookViews>
    <workbookView xWindow="-120" yWindow="-120" windowWidth="20730" windowHeight="11160" tabRatio="682" firstSheet="19" activeTab="19" xr2:uid="{00000000-000D-0000-FFFF-FFFF00000000}"/>
  </bookViews>
  <sheets>
    <sheet name="Matriz Sta Ana" sheetId="1" r:id="rId1"/>
    <sheet name="EFICACIA" sheetId="84" r:id="rId2"/>
    <sheet name="Presion" sheetId="59" r:id="rId3"/>
    <sheet name="Agua" sheetId="60" r:id="rId4"/>
    <sheet name="Suspension" sheetId="61" r:id="rId5"/>
    <sheet name="IPUF" sheetId="91" r:id="rId6"/>
    <sheet name="IRCA" sheetId="63" r:id="rId7"/>
    <sheet name="Parametros " sheetId="64" r:id="rId8"/>
    <sheet name="Calidad PTAP" sheetId="62" r:id="rId9"/>
    <sheet name="Parametros PTAR" sheetId="67" r:id="rId10"/>
    <sheet name="Calidad PTAR" sheetId="66" r:id="rId11"/>
    <sheet name="Resultado Informe PTAR Anual" sheetId="89" r:id="rId12"/>
    <sheet name="Reclamaciones Alcan 2022" sheetId="69" r:id="rId13"/>
    <sheet name="Reclamaciones Acue- 2022" sheetId="68" r:id="rId14"/>
    <sheet name="Rotacion de Cartera." sheetId="73" r:id="rId15"/>
    <sheet name="Eficiencia-recaudo Acued 2022" sheetId="70" r:id="rId16"/>
    <sheet name="Eficiencia-recuado Alcan 2022" sheetId="71" r:id="rId17"/>
    <sheet name="Encuestas de satisfacción" sheetId="72" state="hidden" r:id="rId18"/>
    <sheet name="Cumplimiento Legal " sheetId="74" r:id="rId19"/>
    <sheet name="Cumplimiento Capacitaciones" sheetId="76" r:id="rId20"/>
    <sheet name="Cobertura" sheetId="77" r:id="rId21"/>
    <sheet name="Eficacia capac" sheetId="90" r:id="rId22"/>
    <sheet name="Desemp de Proveedores " sheetId="75" r:id="rId23"/>
    <sheet name="Eficaciacap" sheetId="78" state="hidden" r:id="rId24"/>
    <sheet name="Tasa de Accidentalidad " sheetId="79" r:id="rId25"/>
    <sheet name="Indice de Frecuencia" sheetId="81" r:id="rId26"/>
    <sheet name="Indice de Severidad" sheetId="80" r:id="rId27"/>
    <sheet name="Indice de Lesiones Incapacitant" sheetId="82" r:id="rId28"/>
    <sheet name="Enfermedad Laboral" sheetId="88" r:id="rId29"/>
    <sheet name="Ausentismo laboral" sheetId="87" r:id="rId30"/>
    <sheet name="Cantidad de Incidentes" sheetId="83" state="hidden" r:id="rId31"/>
    <sheet name="Rotacion de Cartera" sheetId="40" state="hidden" r:id="rId32"/>
  </sheets>
  <externalReferences>
    <externalReference r:id="rId33"/>
    <externalReference r:id="rId34"/>
  </externalReferences>
  <definedNames>
    <definedName name="_xlnm._FilterDatabase" localSheetId="8" hidden="1">'Calidad PTAP'!$B$4:$AD$77</definedName>
    <definedName name="_xlnm._FilterDatabase" localSheetId="0" hidden="1">'Matriz Sta Ana'!$A$2:$M$27</definedName>
    <definedName name="_xlnm.Print_Area" localSheetId="3">Agua!$A$1:$N$52</definedName>
    <definedName name="_xlnm.Print_Area" localSheetId="29">'Ausentismo laboral'!$A$1:$N$45</definedName>
    <definedName name="_xlnm.Print_Area" localSheetId="8">'Calidad PTAP'!$A$1:$AD$94</definedName>
    <definedName name="_xlnm.Print_Area" localSheetId="10">'Calidad PTAR'!$A$1:$R$63</definedName>
    <definedName name="_xlnm.Print_Area" localSheetId="30">'Cantidad de Incidentes'!$A$1:$N$44</definedName>
    <definedName name="_xlnm.Print_Area" localSheetId="20">Cobertura!$A$1:$N$43</definedName>
    <definedName name="_xlnm.Print_Area" localSheetId="19">'Cumplimiento Capacitaciones'!$A$1:$N$44</definedName>
    <definedName name="_xlnm.Print_Area" localSheetId="18">'Cumplimiento Legal '!$A$1:$N$36</definedName>
    <definedName name="_xlnm.Print_Area" localSheetId="22">'Desemp de Proveedores '!$A$1:$N$32</definedName>
    <definedName name="_xlnm.Print_Area" localSheetId="21">'Eficacia capac'!$A$1:$N$37</definedName>
    <definedName name="_xlnm.Print_Area" localSheetId="23">Eficaciacap!$A$1:$N$44</definedName>
    <definedName name="_xlnm.Print_Area" localSheetId="15">'Eficiencia-recaudo Acued 2022'!$A$1:$N$57</definedName>
    <definedName name="_xlnm.Print_Area" localSheetId="16">'Eficiencia-recuado Alcan 2022'!$A$1:$N$58</definedName>
    <definedName name="_xlnm.Print_Area" localSheetId="17">'Encuestas de satisfacción'!$A$1:$N$44</definedName>
    <definedName name="_xlnm.Print_Area" localSheetId="28">'Enfermedad Laboral'!$A$1:$N$45</definedName>
    <definedName name="_xlnm.Print_Area" localSheetId="25">'Indice de Frecuencia'!$A$1:$O$37</definedName>
    <definedName name="_xlnm.Print_Area" localSheetId="27">'Indice de Lesiones Incapacitant'!$A$1:$N$45</definedName>
    <definedName name="_xlnm.Print_Area" localSheetId="26">'Indice de Severidad'!$A$1:$N$47</definedName>
    <definedName name="_xlnm.Print_Area" localSheetId="5">IPUF!$A$1:$N$75</definedName>
    <definedName name="_xlnm.Print_Area" localSheetId="6">IRCA!$A$1:$N$49</definedName>
    <definedName name="_xlnm.Print_Area" localSheetId="7">'Parametros '!$A$1:$N$46</definedName>
    <definedName name="_xlnm.Print_Area" localSheetId="9">'Parametros PTAR'!$A$1:$P$43</definedName>
    <definedName name="_xlnm.Print_Area" localSheetId="2">Presion!$A$1:$N$112</definedName>
    <definedName name="_xlnm.Print_Area" localSheetId="13">'Reclamaciones Acue- 2022'!$A$1:$N$54</definedName>
    <definedName name="_xlnm.Print_Area" localSheetId="12">'Reclamaciones Alcan 2022'!$A$1:$N$57</definedName>
    <definedName name="_xlnm.Print_Area" localSheetId="31">'Rotacion de Cartera'!$A$1:$N$37</definedName>
    <definedName name="_xlnm.Print_Area" localSheetId="14">'Rotacion de Cartera.'!$A$1:$O$41</definedName>
    <definedName name="_xlnm.Print_Area" localSheetId="4">Suspension!$A$1:$N$51</definedName>
    <definedName name="_xlnm.Print_Area" localSheetId="24">'Tasa de Accidentalidad '!$A$1:$N$36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43" i="91" l="1"/>
  <c r="K22" i="91"/>
  <c r="J22" i="91"/>
  <c r="O16" i="66"/>
  <c r="N16" i="66"/>
  <c r="G78" i="62"/>
  <c r="I78" i="62"/>
  <c r="K78" i="62"/>
  <c r="K43" i="91"/>
  <c r="J43" i="91"/>
  <c r="J83" i="59" l="1"/>
  <c r="I94" i="59"/>
  <c r="I93" i="59"/>
  <c r="I92" i="59"/>
  <c r="I91" i="59"/>
  <c r="I90" i="59"/>
  <c r="I89" i="59"/>
  <c r="I88" i="59"/>
  <c r="I87" i="59"/>
  <c r="I86" i="59"/>
  <c r="I85" i="59"/>
  <c r="I84" i="59"/>
  <c r="I83" i="59"/>
  <c r="M49" i="68"/>
  <c r="M48" i="68"/>
  <c r="M47" i="68"/>
  <c r="L40" i="1" l="1"/>
  <c r="AL14" i="1" l="1"/>
  <c r="AL13" i="1"/>
  <c r="AL7" i="1"/>
  <c r="C22" i="91" l="1"/>
  <c r="D43" i="91"/>
  <c r="E43" i="91"/>
  <c r="F43" i="91"/>
  <c r="G43" i="91"/>
  <c r="H43" i="91"/>
  <c r="I43" i="91"/>
  <c r="O5" i="1" l="1"/>
  <c r="Q45" i="91"/>
  <c r="Q46" i="91" s="1"/>
  <c r="Q47" i="91" s="1"/>
  <c r="Q48" i="91" s="1"/>
  <c r="Q44" i="91"/>
  <c r="A38" i="91"/>
  <c r="A37" i="91"/>
  <c r="A36" i="91"/>
  <c r="A35" i="91"/>
  <c r="A34" i="91"/>
  <c r="A33" i="91"/>
  <c r="A32" i="91"/>
  <c r="A31" i="91"/>
  <c r="A30" i="91"/>
  <c r="A29" i="91"/>
  <c r="A28" i="91"/>
  <c r="A27" i="91"/>
  <c r="I22" i="91"/>
  <c r="H22" i="91"/>
  <c r="G22" i="91"/>
  <c r="F22" i="91"/>
  <c r="E22" i="91"/>
  <c r="D22" i="91"/>
  <c r="T5" i="1"/>
  <c r="S5" i="1"/>
  <c r="R5" i="1"/>
  <c r="Q5" i="1"/>
  <c r="P5" i="1"/>
  <c r="N5" i="1"/>
  <c r="Q49" i="91" l="1"/>
  <c r="Q50" i="91" s="1"/>
  <c r="Q51" i="91" s="1"/>
  <c r="Q52" i="91" s="1"/>
  <c r="Q53" i="91" s="1"/>
  <c r="Q54" i="91" s="1"/>
  <c r="Q55" i="91" s="1"/>
  <c r="Q56" i="91" s="1"/>
  <c r="Q57" i="91" s="1"/>
  <c r="Q58" i="91" s="1"/>
  <c r="Q59" i="91" s="1"/>
  <c r="Q60" i="91" s="1"/>
  <c r="Q61" i="91" s="1"/>
  <c r="Q62" i="91" s="1"/>
  <c r="Q63" i="91" s="1"/>
  <c r="Q64" i="91" s="1"/>
  <c r="Q65" i="91" s="1"/>
  <c r="Q66" i="91" s="1"/>
  <c r="Q67" i="91" s="1"/>
  <c r="Q68" i="91" s="1"/>
  <c r="Q69" i="91" s="1"/>
  <c r="Q70" i="91" s="1"/>
  <c r="Q71" i="91" s="1"/>
  <c r="Q72" i="91" s="1"/>
  <c r="Q73" i="91" s="1"/>
  <c r="Q74" i="91" s="1"/>
  <c r="Q75" i="91" s="1"/>
  <c r="I40" i="60" l="1"/>
  <c r="C46" i="60"/>
  <c r="I46" i="60" s="1"/>
  <c r="C41" i="60"/>
  <c r="I41" i="60" s="1"/>
  <c r="C42" i="60"/>
  <c r="I42" i="60" s="1"/>
  <c r="C43" i="60"/>
  <c r="I43" i="60" s="1"/>
  <c r="C44" i="60"/>
  <c r="I44" i="60" s="1"/>
  <c r="C45" i="60"/>
  <c r="I45" i="60" s="1"/>
  <c r="C40" i="60"/>
  <c r="G40" i="60"/>
  <c r="I42" i="80"/>
  <c r="I45" i="80" s="1"/>
  <c r="G43" i="81"/>
  <c r="G44" i="81" s="1"/>
  <c r="H43" i="81"/>
  <c r="H44" i="81" s="1"/>
  <c r="I43" i="81"/>
  <c r="I44" i="81" s="1"/>
  <c r="C43" i="81"/>
  <c r="C44" i="81" s="1"/>
  <c r="C20" i="81" s="1"/>
  <c r="M16" i="66"/>
  <c r="L16" i="66"/>
  <c r="K16" i="66"/>
  <c r="T75" i="62"/>
  <c r="T76" i="62" s="1"/>
  <c r="T72" i="62"/>
  <c r="T73" i="62" s="1"/>
  <c r="T69" i="62"/>
  <c r="T70" i="62" s="1"/>
  <c r="T66" i="62"/>
  <c r="T67" i="62" s="1"/>
  <c r="T63" i="62"/>
  <c r="T64" i="62" s="1"/>
  <c r="T60" i="62"/>
  <c r="T61" i="62" s="1"/>
  <c r="T57" i="62"/>
  <c r="T58" i="62" s="1"/>
  <c r="T54" i="62"/>
  <c r="T55" i="62" s="1"/>
  <c r="T51" i="62"/>
  <c r="T52" i="62" s="1"/>
  <c r="T48" i="62"/>
  <c r="T49" i="62" s="1"/>
  <c r="T45" i="62"/>
  <c r="T46" i="62" s="1"/>
  <c r="T42" i="62"/>
  <c r="T43" i="62" s="1"/>
  <c r="T39" i="62"/>
  <c r="T40" i="62" s="1"/>
  <c r="T36" i="62"/>
  <c r="T37" i="62" s="1"/>
  <c r="T33" i="62"/>
  <c r="T34" i="62" s="1"/>
  <c r="T30" i="62"/>
  <c r="T31" i="62" s="1"/>
  <c r="T27" i="62"/>
  <c r="T28" i="62" s="1"/>
  <c r="T24" i="62"/>
  <c r="T25" i="62" s="1"/>
  <c r="T22" i="62"/>
  <c r="T18" i="62"/>
  <c r="T19" i="62" s="1"/>
  <c r="T15" i="62"/>
  <c r="T16" i="62" s="1"/>
  <c r="T13" i="62"/>
  <c r="T12" i="62"/>
  <c r="T9" i="62"/>
  <c r="T10" i="62" s="1"/>
  <c r="T7" i="62"/>
  <c r="I43" i="80" l="1"/>
  <c r="I82" i="59"/>
  <c r="I81" i="59"/>
  <c r="I80" i="59"/>
  <c r="I79" i="59"/>
  <c r="I78" i="59"/>
  <c r="I77" i="59"/>
  <c r="J77" i="59" s="1"/>
  <c r="I76" i="59"/>
  <c r="I75" i="59"/>
  <c r="I74" i="59"/>
  <c r="I73" i="59"/>
  <c r="I72" i="59"/>
  <c r="I71" i="59"/>
  <c r="I70" i="59"/>
  <c r="I69" i="59"/>
  <c r="I68" i="59"/>
  <c r="I67" i="59"/>
  <c r="I66" i="59"/>
  <c r="I65" i="59"/>
  <c r="AD75" i="62"/>
  <c r="AD76" i="62" s="1"/>
  <c r="AC75" i="62"/>
  <c r="AC76" i="62" s="1"/>
  <c r="AB75" i="62"/>
  <c r="AB76" i="62" s="1"/>
  <c r="AA75" i="62"/>
  <c r="AA76" i="62" s="1"/>
  <c r="Z75" i="62"/>
  <c r="Z76" i="62" s="1"/>
  <c r="Y75" i="62"/>
  <c r="Y76" i="62" s="1"/>
  <c r="X75" i="62"/>
  <c r="X76" i="62" s="1"/>
  <c r="W75" i="62"/>
  <c r="W76" i="62" s="1"/>
  <c r="V75" i="62"/>
  <c r="V76" i="62" s="1"/>
  <c r="U75" i="62"/>
  <c r="U76" i="62" s="1"/>
  <c r="S75" i="62"/>
  <c r="S76" i="62" s="1"/>
  <c r="R75" i="62"/>
  <c r="R76" i="62" s="1"/>
  <c r="Q75" i="62"/>
  <c r="Q76" i="62" s="1"/>
  <c r="P75" i="62"/>
  <c r="P76" i="62" s="1"/>
  <c r="O75" i="62"/>
  <c r="O76" i="62" s="1"/>
  <c r="N75" i="62"/>
  <c r="N76" i="62" s="1"/>
  <c r="M75" i="62"/>
  <c r="M76" i="62" s="1"/>
  <c r="L75" i="62"/>
  <c r="L76" i="62" s="1"/>
  <c r="K75" i="62"/>
  <c r="K76" i="62" s="1"/>
  <c r="J75" i="62"/>
  <c r="J76" i="62" s="1"/>
  <c r="I75" i="62"/>
  <c r="I76" i="62" s="1"/>
  <c r="H75" i="62"/>
  <c r="H76" i="62" s="1"/>
  <c r="G75" i="62"/>
  <c r="G76" i="62" s="1"/>
  <c r="AD72" i="62"/>
  <c r="AD73" i="62" s="1"/>
  <c r="AC72" i="62"/>
  <c r="AC73" i="62" s="1"/>
  <c r="AB72" i="62"/>
  <c r="AB73" i="62" s="1"/>
  <c r="AA72" i="62"/>
  <c r="AA73" i="62" s="1"/>
  <c r="Z72" i="62"/>
  <c r="Z73" i="62" s="1"/>
  <c r="Y72" i="62"/>
  <c r="Y73" i="62" s="1"/>
  <c r="X72" i="62"/>
  <c r="X73" i="62" s="1"/>
  <c r="W72" i="62"/>
  <c r="W73" i="62" s="1"/>
  <c r="V72" i="62"/>
  <c r="V73" i="62" s="1"/>
  <c r="U72" i="62"/>
  <c r="U73" i="62" s="1"/>
  <c r="S72" i="62"/>
  <c r="S73" i="62" s="1"/>
  <c r="R72" i="62"/>
  <c r="R73" i="62" s="1"/>
  <c r="Q72" i="62"/>
  <c r="Q73" i="62" s="1"/>
  <c r="P72" i="62"/>
  <c r="P73" i="62" s="1"/>
  <c r="O72" i="62"/>
  <c r="O73" i="62" s="1"/>
  <c r="N72" i="62"/>
  <c r="N73" i="62" s="1"/>
  <c r="M72" i="62"/>
  <c r="M73" i="62" s="1"/>
  <c r="L72" i="62"/>
  <c r="L73" i="62" s="1"/>
  <c r="K72" i="62"/>
  <c r="K73" i="62" s="1"/>
  <c r="J72" i="62"/>
  <c r="J73" i="62" s="1"/>
  <c r="I72" i="62"/>
  <c r="I73" i="62" s="1"/>
  <c r="H72" i="62"/>
  <c r="H73" i="62" s="1"/>
  <c r="G72" i="62"/>
  <c r="G73" i="62" s="1"/>
  <c r="AD69" i="62"/>
  <c r="AD70" i="62" s="1"/>
  <c r="AC69" i="62"/>
  <c r="AC70" i="62" s="1"/>
  <c r="AB69" i="62"/>
  <c r="AB70" i="62" s="1"/>
  <c r="AA69" i="62"/>
  <c r="AA70" i="62" s="1"/>
  <c r="Z69" i="62"/>
  <c r="Z70" i="62" s="1"/>
  <c r="Y69" i="62"/>
  <c r="Y70" i="62" s="1"/>
  <c r="X69" i="62"/>
  <c r="X70" i="62" s="1"/>
  <c r="W69" i="62"/>
  <c r="W70" i="62" s="1"/>
  <c r="V69" i="62"/>
  <c r="V70" i="62" s="1"/>
  <c r="U69" i="62"/>
  <c r="U70" i="62" s="1"/>
  <c r="S69" i="62"/>
  <c r="S70" i="62" s="1"/>
  <c r="R69" i="62"/>
  <c r="R70" i="62" s="1"/>
  <c r="Q69" i="62"/>
  <c r="Q70" i="62" s="1"/>
  <c r="P69" i="62"/>
  <c r="P70" i="62" s="1"/>
  <c r="O69" i="62"/>
  <c r="O70" i="62" s="1"/>
  <c r="N69" i="62"/>
  <c r="N70" i="62" s="1"/>
  <c r="M69" i="62"/>
  <c r="M70" i="62" s="1"/>
  <c r="L69" i="62"/>
  <c r="L70" i="62" s="1"/>
  <c r="K69" i="62"/>
  <c r="K70" i="62" s="1"/>
  <c r="J69" i="62"/>
  <c r="J70" i="62" s="1"/>
  <c r="I69" i="62"/>
  <c r="I70" i="62" s="1"/>
  <c r="H69" i="62"/>
  <c r="H70" i="62" s="1"/>
  <c r="G69" i="62"/>
  <c r="G70" i="62" s="1"/>
  <c r="AD66" i="62"/>
  <c r="AD67" i="62" s="1"/>
  <c r="AC66" i="62"/>
  <c r="AC67" i="62" s="1"/>
  <c r="AB66" i="62"/>
  <c r="AB67" i="62" s="1"/>
  <c r="AA66" i="62"/>
  <c r="AA67" i="62" s="1"/>
  <c r="Z66" i="62"/>
  <c r="Z67" i="62" s="1"/>
  <c r="Y66" i="62"/>
  <c r="Y67" i="62" s="1"/>
  <c r="X66" i="62"/>
  <c r="X67" i="62" s="1"/>
  <c r="W66" i="62"/>
  <c r="W67" i="62" s="1"/>
  <c r="V66" i="62"/>
  <c r="V67" i="62" s="1"/>
  <c r="U66" i="62"/>
  <c r="U67" i="62" s="1"/>
  <c r="S66" i="62"/>
  <c r="S67" i="62" s="1"/>
  <c r="R66" i="62"/>
  <c r="R67" i="62" s="1"/>
  <c r="Q66" i="62"/>
  <c r="Q67" i="62" s="1"/>
  <c r="P66" i="62"/>
  <c r="P67" i="62" s="1"/>
  <c r="O66" i="62"/>
  <c r="O67" i="62" s="1"/>
  <c r="N66" i="62"/>
  <c r="N67" i="62" s="1"/>
  <c r="M66" i="62"/>
  <c r="M67" i="62" s="1"/>
  <c r="L66" i="62"/>
  <c r="L67" i="62" s="1"/>
  <c r="K66" i="62"/>
  <c r="K67" i="62" s="1"/>
  <c r="J66" i="62"/>
  <c r="J67" i="62" s="1"/>
  <c r="I66" i="62"/>
  <c r="I67" i="62" s="1"/>
  <c r="H66" i="62"/>
  <c r="H67" i="62" s="1"/>
  <c r="G66" i="62"/>
  <c r="G67" i="62" s="1"/>
  <c r="AD63" i="62"/>
  <c r="AD64" i="62" s="1"/>
  <c r="AC63" i="62"/>
  <c r="AC64" i="62" s="1"/>
  <c r="AB63" i="62"/>
  <c r="AB64" i="62" s="1"/>
  <c r="AA63" i="62"/>
  <c r="AA64" i="62" s="1"/>
  <c r="Z63" i="62"/>
  <c r="Z64" i="62" s="1"/>
  <c r="Y63" i="62"/>
  <c r="Y64" i="62" s="1"/>
  <c r="X63" i="62"/>
  <c r="X64" i="62" s="1"/>
  <c r="W63" i="62"/>
  <c r="W64" i="62" s="1"/>
  <c r="V63" i="62"/>
  <c r="V64" i="62" s="1"/>
  <c r="U63" i="62"/>
  <c r="U64" i="62" s="1"/>
  <c r="S63" i="62"/>
  <c r="S64" i="62" s="1"/>
  <c r="R63" i="62"/>
  <c r="R64" i="62" s="1"/>
  <c r="Q63" i="62"/>
  <c r="Q64" i="62" s="1"/>
  <c r="P63" i="62"/>
  <c r="P64" i="62" s="1"/>
  <c r="O63" i="62"/>
  <c r="O64" i="62" s="1"/>
  <c r="N63" i="62"/>
  <c r="N64" i="62" s="1"/>
  <c r="M63" i="62"/>
  <c r="M64" i="62" s="1"/>
  <c r="L63" i="62"/>
  <c r="L64" i="62" s="1"/>
  <c r="K63" i="62"/>
  <c r="K64" i="62" s="1"/>
  <c r="J63" i="62"/>
  <c r="J64" i="62" s="1"/>
  <c r="I63" i="62"/>
  <c r="I64" i="62" s="1"/>
  <c r="H63" i="62"/>
  <c r="H64" i="62" s="1"/>
  <c r="G63" i="62"/>
  <c r="G64" i="62" s="1"/>
  <c r="AD60" i="62"/>
  <c r="AD61" i="62" s="1"/>
  <c r="AC60" i="62"/>
  <c r="AC61" i="62" s="1"/>
  <c r="AB60" i="62"/>
  <c r="AB61" i="62" s="1"/>
  <c r="AA60" i="62"/>
  <c r="AA61" i="62" s="1"/>
  <c r="Z60" i="62"/>
  <c r="Z61" i="62" s="1"/>
  <c r="Y60" i="62"/>
  <c r="Y61" i="62" s="1"/>
  <c r="X60" i="62"/>
  <c r="X61" i="62" s="1"/>
  <c r="W60" i="62"/>
  <c r="W61" i="62" s="1"/>
  <c r="V60" i="62"/>
  <c r="V61" i="62" s="1"/>
  <c r="U60" i="62"/>
  <c r="U61" i="62" s="1"/>
  <c r="S60" i="62"/>
  <c r="S61" i="62" s="1"/>
  <c r="R60" i="62"/>
  <c r="R61" i="62" s="1"/>
  <c r="Q60" i="62"/>
  <c r="Q61" i="62" s="1"/>
  <c r="P60" i="62"/>
  <c r="P61" i="62" s="1"/>
  <c r="O60" i="62"/>
  <c r="O61" i="62" s="1"/>
  <c r="N60" i="62"/>
  <c r="N61" i="62" s="1"/>
  <c r="M60" i="62"/>
  <c r="M61" i="62" s="1"/>
  <c r="L60" i="62"/>
  <c r="L61" i="62" s="1"/>
  <c r="K60" i="62"/>
  <c r="K61" i="62" s="1"/>
  <c r="J60" i="62"/>
  <c r="J61" i="62" s="1"/>
  <c r="I60" i="62"/>
  <c r="I61" i="62" s="1"/>
  <c r="H60" i="62"/>
  <c r="H61" i="62" s="1"/>
  <c r="G60" i="62"/>
  <c r="G61" i="62" s="1"/>
  <c r="AD58" i="62"/>
  <c r="AD57" i="62"/>
  <c r="AC57" i="62"/>
  <c r="AC58" i="62" s="1"/>
  <c r="AB57" i="62"/>
  <c r="AB58" i="62" s="1"/>
  <c r="AA57" i="62"/>
  <c r="AA58" i="62" s="1"/>
  <c r="Z57" i="62"/>
  <c r="Z58" i="62" s="1"/>
  <c r="Y57" i="62"/>
  <c r="Y58" i="62" s="1"/>
  <c r="X57" i="62"/>
  <c r="X58" i="62" s="1"/>
  <c r="W57" i="62"/>
  <c r="W58" i="62" s="1"/>
  <c r="V57" i="62"/>
  <c r="V58" i="62" s="1"/>
  <c r="U57" i="62"/>
  <c r="U58" i="62" s="1"/>
  <c r="S57" i="62"/>
  <c r="S58" i="62" s="1"/>
  <c r="R57" i="62"/>
  <c r="R58" i="62" s="1"/>
  <c r="Q57" i="62"/>
  <c r="Q58" i="62" s="1"/>
  <c r="P57" i="62"/>
  <c r="P58" i="62" s="1"/>
  <c r="O57" i="62"/>
  <c r="O58" i="62" s="1"/>
  <c r="N57" i="62"/>
  <c r="N58" i="62" s="1"/>
  <c r="M57" i="62"/>
  <c r="M58" i="62" s="1"/>
  <c r="L57" i="62"/>
  <c r="L58" i="62" s="1"/>
  <c r="K57" i="62"/>
  <c r="K58" i="62" s="1"/>
  <c r="J57" i="62"/>
  <c r="J58" i="62" s="1"/>
  <c r="I57" i="62"/>
  <c r="I58" i="62" s="1"/>
  <c r="H57" i="62"/>
  <c r="G57" i="62"/>
  <c r="AD54" i="62"/>
  <c r="AD55" i="62" s="1"/>
  <c r="AC54" i="62"/>
  <c r="AC55" i="62" s="1"/>
  <c r="AB54" i="62"/>
  <c r="AB55" i="62" s="1"/>
  <c r="AA54" i="62"/>
  <c r="AA55" i="62" s="1"/>
  <c r="Z54" i="62"/>
  <c r="Z55" i="62" s="1"/>
  <c r="Y54" i="62"/>
  <c r="Y55" i="62" s="1"/>
  <c r="X54" i="62"/>
  <c r="X55" i="62" s="1"/>
  <c r="W54" i="62"/>
  <c r="W55" i="62" s="1"/>
  <c r="V54" i="62"/>
  <c r="V55" i="62" s="1"/>
  <c r="U54" i="62"/>
  <c r="U55" i="62" s="1"/>
  <c r="S54" i="62"/>
  <c r="S55" i="62" s="1"/>
  <c r="R54" i="62"/>
  <c r="R55" i="62" s="1"/>
  <c r="Q54" i="62"/>
  <c r="Q55" i="62" s="1"/>
  <c r="P54" i="62"/>
  <c r="P55" i="62" s="1"/>
  <c r="O54" i="62"/>
  <c r="O55" i="62" s="1"/>
  <c r="N54" i="62"/>
  <c r="N55" i="62" s="1"/>
  <c r="M54" i="62"/>
  <c r="M55" i="62" s="1"/>
  <c r="L54" i="62"/>
  <c r="L55" i="62" s="1"/>
  <c r="K54" i="62"/>
  <c r="K55" i="62" s="1"/>
  <c r="J54" i="62"/>
  <c r="J55" i="62" s="1"/>
  <c r="I54" i="62"/>
  <c r="I55" i="62" s="1"/>
  <c r="H54" i="62"/>
  <c r="H55" i="62" s="1"/>
  <c r="G54" i="62"/>
  <c r="G55" i="62" s="1"/>
  <c r="AD51" i="62"/>
  <c r="AD52" i="62" s="1"/>
  <c r="AC51" i="62"/>
  <c r="AC52" i="62" s="1"/>
  <c r="AB51" i="62"/>
  <c r="AB52" i="62" s="1"/>
  <c r="AA51" i="62"/>
  <c r="AA52" i="62" s="1"/>
  <c r="Z51" i="62"/>
  <c r="Z52" i="62" s="1"/>
  <c r="Y51" i="62"/>
  <c r="Y52" i="62" s="1"/>
  <c r="X51" i="62"/>
  <c r="X52" i="62" s="1"/>
  <c r="W51" i="62"/>
  <c r="W52" i="62" s="1"/>
  <c r="V51" i="62"/>
  <c r="V52" i="62" s="1"/>
  <c r="U51" i="62"/>
  <c r="U52" i="62" s="1"/>
  <c r="S51" i="62"/>
  <c r="S52" i="62" s="1"/>
  <c r="R51" i="62"/>
  <c r="R52" i="62" s="1"/>
  <c r="Q51" i="62"/>
  <c r="Q52" i="62" s="1"/>
  <c r="P51" i="62"/>
  <c r="P52" i="62" s="1"/>
  <c r="O51" i="62"/>
  <c r="O52" i="62" s="1"/>
  <c r="N51" i="62"/>
  <c r="N52" i="62" s="1"/>
  <c r="M51" i="62"/>
  <c r="M52" i="62" s="1"/>
  <c r="L51" i="62"/>
  <c r="L52" i="62" s="1"/>
  <c r="K51" i="62"/>
  <c r="K52" i="62" s="1"/>
  <c r="J51" i="62"/>
  <c r="J52" i="62" s="1"/>
  <c r="I51" i="62"/>
  <c r="I52" i="62" s="1"/>
  <c r="H51" i="62"/>
  <c r="H52" i="62" s="1"/>
  <c r="G51" i="62"/>
  <c r="G52" i="62" s="1"/>
  <c r="AD48" i="62"/>
  <c r="AD49" i="62" s="1"/>
  <c r="AC48" i="62"/>
  <c r="AC49" i="62" s="1"/>
  <c r="AB48" i="62"/>
  <c r="AB49" i="62" s="1"/>
  <c r="AA48" i="62"/>
  <c r="AA49" i="62" s="1"/>
  <c r="Z48" i="62"/>
  <c r="Z49" i="62" s="1"/>
  <c r="Y48" i="62"/>
  <c r="Y49" i="62" s="1"/>
  <c r="X48" i="62"/>
  <c r="X49" i="62" s="1"/>
  <c r="W48" i="62"/>
  <c r="W49" i="62" s="1"/>
  <c r="V48" i="62"/>
  <c r="V49" i="62" s="1"/>
  <c r="U48" i="62"/>
  <c r="U49" i="62" s="1"/>
  <c r="S48" i="62"/>
  <c r="S49" i="62" s="1"/>
  <c r="R48" i="62"/>
  <c r="R49" i="62" s="1"/>
  <c r="Q48" i="62"/>
  <c r="Q49" i="62" s="1"/>
  <c r="P48" i="62"/>
  <c r="P49" i="62" s="1"/>
  <c r="O48" i="62"/>
  <c r="O49" i="62" s="1"/>
  <c r="N48" i="62"/>
  <c r="N49" i="62" s="1"/>
  <c r="M48" i="62"/>
  <c r="M49" i="62" s="1"/>
  <c r="L48" i="62"/>
  <c r="L49" i="62" s="1"/>
  <c r="K48" i="62"/>
  <c r="K49" i="62" s="1"/>
  <c r="J48" i="62"/>
  <c r="J49" i="62" s="1"/>
  <c r="I48" i="62"/>
  <c r="I49" i="62" s="1"/>
  <c r="H48" i="62"/>
  <c r="H49" i="62" s="1"/>
  <c r="G48" i="62"/>
  <c r="G49" i="62" s="1"/>
  <c r="I46" i="62"/>
  <c r="AD45" i="62"/>
  <c r="AD46" i="62" s="1"/>
  <c r="AC45" i="62"/>
  <c r="AC46" i="62" s="1"/>
  <c r="AB45" i="62"/>
  <c r="AB46" i="62" s="1"/>
  <c r="AA45" i="62"/>
  <c r="AA46" i="62" s="1"/>
  <c r="Z45" i="62"/>
  <c r="Z46" i="62" s="1"/>
  <c r="Y45" i="62"/>
  <c r="Y46" i="62" s="1"/>
  <c r="X45" i="62"/>
  <c r="X46" i="62" s="1"/>
  <c r="W45" i="62"/>
  <c r="W46" i="62" s="1"/>
  <c r="V45" i="62"/>
  <c r="V46" i="62" s="1"/>
  <c r="U45" i="62"/>
  <c r="U46" i="62" s="1"/>
  <c r="S45" i="62"/>
  <c r="S46" i="62" s="1"/>
  <c r="R45" i="62"/>
  <c r="R46" i="62" s="1"/>
  <c r="Q45" i="62"/>
  <c r="Q46" i="62" s="1"/>
  <c r="P45" i="62"/>
  <c r="P46" i="62" s="1"/>
  <c r="O45" i="62"/>
  <c r="O46" i="62" s="1"/>
  <c r="N45" i="62"/>
  <c r="N46" i="62" s="1"/>
  <c r="M45" i="62"/>
  <c r="M46" i="62" s="1"/>
  <c r="L45" i="62"/>
  <c r="L46" i="62" s="1"/>
  <c r="K45" i="62"/>
  <c r="K46" i="62" s="1"/>
  <c r="J45" i="62"/>
  <c r="J46" i="62" s="1"/>
  <c r="I45" i="62"/>
  <c r="H45" i="62"/>
  <c r="H46" i="62" s="1"/>
  <c r="G45" i="62"/>
  <c r="G46" i="62" s="1"/>
  <c r="AB43" i="62"/>
  <c r="AD42" i="62"/>
  <c r="AD43" i="62" s="1"/>
  <c r="AC42" i="62"/>
  <c r="AC43" i="62" s="1"/>
  <c r="AB42" i="62"/>
  <c r="AA42" i="62"/>
  <c r="AA43" i="62" s="1"/>
  <c r="Z42" i="62"/>
  <c r="Z43" i="62" s="1"/>
  <c r="Y42" i="62"/>
  <c r="Y43" i="62" s="1"/>
  <c r="X42" i="62"/>
  <c r="X43" i="62" s="1"/>
  <c r="W42" i="62"/>
  <c r="W43" i="62" s="1"/>
  <c r="V42" i="62"/>
  <c r="V43" i="62" s="1"/>
  <c r="U42" i="62"/>
  <c r="U43" i="62" s="1"/>
  <c r="S42" i="62"/>
  <c r="S43" i="62" s="1"/>
  <c r="R42" i="62"/>
  <c r="R43" i="62" s="1"/>
  <c r="Q42" i="62"/>
  <c r="Q43" i="62" s="1"/>
  <c r="P42" i="62"/>
  <c r="P43" i="62" s="1"/>
  <c r="O42" i="62"/>
  <c r="O43" i="62" s="1"/>
  <c r="N42" i="62"/>
  <c r="N43" i="62" s="1"/>
  <c r="M42" i="62"/>
  <c r="M43" i="62" s="1"/>
  <c r="L42" i="62"/>
  <c r="L43" i="62" s="1"/>
  <c r="K42" i="62"/>
  <c r="K43" i="62" s="1"/>
  <c r="J42" i="62"/>
  <c r="J43" i="62" s="1"/>
  <c r="I42" i="62"/>
  <c r="I43" i="62" s="1"/>
  <c r="H42" i="62"/>
  <c r="H43" i="62" s="1"/>
  <c r="G42" i="62"/>
  <c r="G43" i="62" s="1"/>
  <c r="K40" i="62"/>
  <c r="AD39" i="62"/>
  <c r="AD40" i="62" s="1"/>
  <c r="AC39" i="62"/>
  <c r="AC40" i="62" s="1"/>
  <c r="AB39" i="62"/>
  <c r="AB40" i="62" s="1"/>
  <c r="AA39" i="62"/>
  <c r="AA40" i="62" s="1"/>
  <c r="Z39" i="62"/>
  <c r="Z40" i="62" s="1"/>
  <c r="Y39" i="62"/>
  <c r="Y40" i="62" s="1"/>
  <c r="X39" i="62"/>
  <c r="X40" i="62" s="1"/>
  <c r="W39" i="62"/>
  <c r="W40" i="62" s="1"/>
  <c r="V39" i="62"/>
  <c r="V40" i="62" s="1"/>
  <c r="U39" i="62"/>
  <c r="U40" i="62" s="1"/>
  <c r="S39" i="62"/>
  <c r="S40" i="62" s="1"/>
  <c r="R39" i="62"/>
  <c r="R40" i="62" s="1"/>
  <c r="Q39" i="62"/>
  <c r="Q40" i="62" s="1"/>
  <c r="P39" i="62"/>
  <c r="P40" i="62" s="1"/>
  <c r="O39" i="62"/>
  <c r="O40" i="62" s="1"/>
  <c r="N39" i="62"/>
  <c r="N40" i="62" s="1"/>
  <c r="M39" i="62"/>
  <c r="M40" i="62" s="1"/>
  <c r="L39" i="62"/>
  <c r="L40" i="62" s="1"/>
  <c r="K39" i="62"/>
  <c r="J39" i="62"/>
  <c r="J40" i="62" s="1"/>
  <c r="I39" i="62"/>
  <c r="I40" i="62" s="1"/>
  <c r="H39" i="62"/>
  <c r="H40" i="62" s="1"/>
  <c r="G39" i="62"/>
  <c r="G40" i="62" s="1"/>
  <c r="Y37" i="62"/>
  <c r="I37" i="62"/>
  <c r="AD36" i="62"/>
  <c r="AD37" i="62" s="1"/>
  <c r="AC36" i="62"/>
  <c r="AC37" i="62" s="1"/>
  <c r="AB36" i="62"/>
  <c r="AB37" i="62" s="1"/>
  <c r="AA36" i="62"/>
  <c r="AA37" i="62" s="1"/>
  <c r="Z36" i="62"/>
  <c r="Z37" i="62" s="1"/>
  <c r="Y36" i="62"/>
  <c r="X36" i="62"/>
  <c r="X37" i="62" s="1"/>
  <c r="W36" i="62"/>
  <c r="W37" i="62" s="1"/>
  <c r="V36" i="62"/>
  <c r="V37" i="62" s="1"/>
  <c r="U36" i="62"/>
  <c r="U37" i="62" s="1"/>
  <c r="S36" i="62"/>
  <c r="S37" i="62" s="1"/>
  <c r="R36" i="62"/>
  <c r="R37" i="62" s="1"/>
  <c r="Q36" i="62"/>
  <c r="Q37" i="62" s="1"/>
  <c r="P36" i="62"/>
  <c r="P37" i="62" s="1"/>
  <c r="O36" i="62"/>
  <c r="O37" i="62" s="1"/>
  <c r="N36" i="62"/>
  <c r="N37" i="62" s="1"/>
  <c r="M36" i="62"/>
  <c r="M37" i="62" s="1"/>
  <c r="L36" i="62"/>
  <c r="L37" i="62" s="1"/>
  <c r="K36" i="62"/>
  <c r="K37" i="62" s="1"/>
  <c r="J36" i="62"/>
  <c r="J37" i="62" s="1"/>
  <c r="H36" i="62"/>
  <c r="H37" i="62" s="1"/>
  <c r="G36" i="62"/>
  <c r="G37" i="62" s="1"/>
  <c r="AD33" i="62"/>
  <c r="AD34" i="62" s="1"/>
  <c r="AC33" i="62"/>
  <c r="AC34" i="62" s="1"/>
  <c r="AB33" i="62"/>
  <c r="AB34" i="62" s="1"/>
  <c r="AA33" i="62"/>
  <c r="AA34" i="62" s="1"/>
  <c r="Z33" i="62"/>
  <c r="Z34" i="62" s="1"/>
  <c r="Y33" i="62"/>
  <c r="Y34" i="62" s="1"/>
  <c r="X33" i="62"/>
  <c r="X34" i="62" s="1"/>
  <c r="W33" i="62"/>
  <c r="W34" i="62" s="1"/>
  <c r="V33" i="62"/>
  <c r="V34" i="62" s="1"/>
  <c r="U33" i="62"/>
  <c r="U34" i="62" s="1"/>
  <c r="S33" i="62"/>
  <c r="S34" i="62" s="1"/>
  <c r="R33" i="62"/>
  <c r="R34" i="62" s="1"/>
  <c r="Q33" i="62"/>
  <c r="Q34" i="62" s="1"/>
  <c r="P33" i="62"/>
  <c r="P34" i="62" s="1"/>
  <c r="O33" i="62"/>
  <c r="O34" i="62" s="1"/>
  <c r="N33" i="62"/>
  <c r="N34" i="62" s="1"/>
  <c r="M33" i="62"/>
  <c r="M34" i="62" s="1"/>
  <c r="L33" i="62"/>
  <c r="L34" i="62" s="1"/>
  <c r="K33" i="62"/>
  <c r="K34" i="62" s="1"/>
  <c r="J33" i="62"/>
  <c r="J34" i="62" s="1"/>
  <c r="I33" i="62"/>
  <c r="I34" i="62" s="1"/>
  <c r="H33" i="62"/>
  <c r="H34" i="62" s="1"/>
  <c r="G33" i="62"/>
  <c r="G34" i="62" s="1"/>
  <c r="R31" i="62"/>
  <c r="AD30" i="62"/>
  <c r="AD31" i="62" s="1"/>
  <c r="AC30" i="62"/>
  <c r="AC31" i="62" s="1"/>
  <c r="AB30" i="62"/>
  <c r="AB31" i="62" s="1"/>
  <c r="AA30" i="62"/>
  <c r="AA31" i="62" s="1"/>
  <c r="Z30" i="62"/>
  <c r="Z31" i="62" s="1"/>
  <c r="Y30" i="62"/>
  <c r="Y31" i="62" s="1"/>
  <c r="X30" i="62"/>
  <c r="X31" i="62" s="1"/>
  <c r="W30" i="62"/>
  <c r="W31" i="62" s="1"/>
  <c r="V30" i="62"/>
  <c r="V31" i="62" s="1"/>
  <c r="U30" i="62"/>
  <c r="U31" i="62" s="1"/>
  <c r="S30" i="62"/>
  <c r="S31" i="62" s="1"/>
  <c r="R30" i="62"/>
  <c r="Q30" i="62"/>
  <c r="Q31" i="62" s="1"/>
  <c r="P30" i="62"/>
  <c r="P31" i="62" s="1"/>
  <c r="O30" i="62"/>
  <c r="O31" i="62" s="1"/>
  <c r="N30" i="62"/>
  <c r="N31" i="62" s="1"/>
  <c r="M30" i="62"/>
  <c r="M31" i="62" s="1"/>
  <c r="L30" i="62"/>
  <c r="L31" i="62" s="1"/>
  <c r="K30" i="62"/>
  <c r="K31" i="62" s="1"/>
  <c r="J30" i="62"/>
  <c r="J31" i="62" s="1"/>
  <c r="I30" i="62"/>
  <c r="I31" i="62" s="1"/>
  <c r="H30" i="62"/>
  <c r="H31" i="62" s="1"/>
  <c r="G30" i="62"/>
  <c r="G31" i="62" s="1"/>
  <c r="Z28" i="62"/>
  <c r="H28" i="62"/>
  <c r="AD27" i="62"/>
  <c r="AD28" i="62" s="1"/>
  <c r="AC27" i="62"/>
  <c r="AC28" i="62" s="1"/>
  <c r="AB27" i="62"/>
  <c r="AB28" i="62" s="1"/>
  <c r="AA27" i="62"/>
  <c r="AA28" i="62" s="1"/>
  <c r="Z27" i="62"/>
  <c r="Y27" i="62"/>
  <c r="Y28" i="62" s="1"/>
  <c r="X27" i="62"/>
  <c r="X28" i="62" s="1"/>
  <c r="W27" i="62"/>
  <c r="W28" i="62" s="1"/>
  <c r="V27" i="62"/>
  <c r="V28" i="62" s="1"/>
  <c r="U27" i="62"/>
  <c r="U28" i="62" s="1"/>
  <c r="S27" i="62"/>
  <c r="S28" i="62" s="1"/>
  <c r="R27" i="62"/>
  <c r="R28" i="62" s="1"/>
  <c r="Q27" i="62"/>
  <c r="Q28" i="62" s="1"/>
  <c r="P27" i="62"/>
  <c r="P28" i="62" s="1"/>
  <c r="O27" i="62"/>
  <c r="O28" i="62" s="1"/>
  <c r="N27" i="62"/>
  <c r="N28" i="62" s="1"/>
  <c r="M27" i="62"/>
  <c r="M28" i="62" s="1"/>
  <c r="L27" i="62"/>
  <c r="L28" i="62" s="1"/>
  <c r="K27" i="62"/>
  <c r="K28" i="62" s="1"/>
  <c r="J27" i="62"/>
  <c r="J28" i="62" s="1"/>
  <c r="I27" i="62"/>
  <c r="I28" i="62" s="1"/>
  <c r="H27" i="62"/>
  <c r="G27" i="62"/>
  <c r="G28" i="62" s="1"/>
  <c r="AB25" i="62"/>
  <c r="L25" i="62"/>
  <c r="AD24" i="62"/>
  <c r="AD25" i="62" s="1"/>
  <c r="AC24" i="62"/>
  <c r="AC25" i="62" s="1"/>
  <c r="AB24" i="62"/>
  <c r="AA24" i="62"/>
  <c r="AA25" i="62" s="1"/>
  <c r="Z24" i="62"/>
  <c r="Z25" i="62" s="1"/>
  <c r="Y24" i="62"/>
  <c r="Y25" i="62" s="1"/>
  <c r="X24" i="62"/>
  <c r="X25" i="62" s="1"/>
  <c r="W24" i="62"/>
  <c r="W25" i="62" s="1"/>
  <c r="V24" i="62"/>
  <c r="V25" i="62" s="1"/>
  <c r="U24" i="62"/>
  <c r="U25" i="62" s="1"/>
  <c r="S24" i="62"/>
  <c r="S25" i="62" s="1"/>
  <c r="R24" i="62"/>
  <c r="R25" i="62" s="1"/>
  <c r="Q24" i="62"/>
  <c r="Q25" i="62" s="1"/>
  <c r="P24" i="62"/>
  <c r="P25" i="62" s="1"/>
  <c r="O24" i="62"/>
  <c r="O25" i="62" s="1"/>
  <c r="N24" i="62"/>
  <c r="N25" i="62" s="1"/>
  <c r="M24" i="62"/>
  <c r="M25" i="62" s="1"/>
  <c r="L24" i="62"/>
  <c r="K24" i="62"/>
  <c r="K25" i="62" s="1"/>
  <c r="J24" i="62"/>
  <c r="J25" i="62" s="1"/>
  <c r="I24" i="62"/>
  <c r="I25" i="62" s="1"/>
  <c r="H24" i="62"/>
  <c r="H25" i="62" s="1"/>
  <c r="G24" i="62"/>
  <c r="G25" i="62" s="1"/>
  <c r="AD22" i="62"/>
  <c r="AC22" i="62"/>
  <c r="AB22" i="62"/>
  <c r="AA22" i="62"/>
  <c r="Z22" i="62"/>
  <c r="Y22" i="62"/>
  <c r="X22" i="62"/>
  <c r="W22" i="62"/>
  <c r="V22" i="62"/>
  <c r="U22" i="62"/>
  <c r="S22" i="62"/>
  <c r="R22" i="62"/>
  <c r="Q22" i="62"/>
  <c r="P22" i="62"/>
  <c r="O22" i="62"/>
  <c r="N22" i="62"/>
  <c r="M22" i="62"/>
  <c r="L22" i="62"/>
  <c r="K22" i="62"/>
  <c r="J22" i="62"/>
  <c r="I22" i="62"/>
  <c r="G22" i="62"/>
  <c r="H21" i="62"/>
  <c r="H22" i="62" s="1"/>
  <c r="G21" i="62"/>
  <c r="AC19" i="62"/>
  <c r="AD18" i="62"/>
  <c r="AD19" i="62" s="1"/>
  <c r="AC18" i="62"/>
  <c r="AB18" i="62"/>
  <c r="AB19" i="62" s="1"/>
  <c r="AA18" i="62"/>
  <c r="AA19" i="62" s="1"/>
  <c r="Z18" i="62"/>
  <c r="Z19" i="62" s="1"/>
  <c r="Y18" i="62"/>
  <c r="Y19" i="62" s="1"/>
  <c r="X18" i="62"/>
  <c r="X19" i="62" s="1"/>
  <c r="W18" i="62"/>
  <c r="W19" i="62" s="1"/>
  <c r="V18" i="62"/>
  <c r="V19" i="62" s="1"/>
  <c r="U18" i="62"/>
  <c r="U19" i="62" s="1"/>
  <c r="S18" i="62"/>
  <c r="S19" i="62" s="1"/>
  <c r="R18" i="62"/>
  <c r="R19" i="62" s="1"/>
  <c r="Q18" i="62"/>
  <c r="Q19" i="62" s="1"/>
  <c r="P18" i="62"/>
  <c r="P19" i="62" s="1"/>
  <c r="O18" i="62"/>
  <c r="O19" i="62" s="1"/>
  <c r="N18" i="62"/>
  <c r="N19" i="62" s="1"/>
  <c r="M18" i="62"/>
  <c r="M19" i="62" s="1"/>
  <c r="L18" i="62"/>
  <c r="L19" i="62" s="1"/>
  <c r="K18" i="62"/>
  <c r="K19" i="62" s="1"/>
  <c r="J18" i="62"/>
  <c r="J19" i="62" s="1"/>
  <c r="I18" i="62"/>
  <c r="I19" i="62" s="1"/>
  <c r="H18" i="62"/>
  <c r="H19" i="62" s="1"/>
  <c r="G18" i="62"/>
  <c r="G19" i="62" s="1"/>
  <c r="AD15" i="62"/>
  <c r="AD16" i="62" s="1"/>
  <c r="AC15" i="62"/>
  <c r="AC16" i="62" s="1"/>
  <c r="AB15" i="62"/>
  <c r="AB16" i="62" s="1"/>
  <c r="AA15" i="62"/>
  <c r="AA16" i="62" s="1"/>
  <c r="Z15" i="62"/>
  <c r="Z16" i="62" s="1"/>
  <c r="Y15" i="62"/>
  <c r="Y16" i="62" s="1"/>
  <c r="X15" i="62"/>
  <c r="X16" i="62" s="1"/>
  <c r="W15" i="62"/>
  <c r="W16" i="62" s="1"/>
  <c r="V15" i="62"/>
  <c r="V16" i="62" s="1"/>
  <c r="U15" i="62"/>
  <c r="U16" i="62" s="1"/>
  <c r="S15" i="62"/>
  <c r="S16" i="62" s="1"/>
  <c r="R15" i="62"/>
  <c r="R16" i="62" s="1"/>
  <c r="Q15" i="62"/>
  <c r="Q16" i="62" s="1"/>
  <c r="P15" i="62"/>
  <c r="P16" i="62" s="1"/>
  <c r="O15" i="62"/>
  <c r="O16" i="62" s="1"/>
  <c r="N15" i="62"/>
  <c r="N16" i="62" s="1"/>
  <c r="M15" i="62"/>
  <c r="M16" i="62" s="1"/>
  <c r="L15" i="62"/>
  <c r="L16" i="62" s="1"/>
  <c r="K15" i="62"/>
  <c r="K16" i="62" s="1"/>
  <c r="J15" i="62"/>
  <c r="J16" i="62" s="1"/>
  <c r="I15" i="62"/>
  <c r="I16" i="62" s="1"/>
  <c r="H15" i="62"/>
  <c r="H16" i="62" s="1"/>
  <c r="G15" i="62"/>
  <c r="G16" i="62" s="1"/>
  <c r="AC13" i="62"/>
  <c r="M13" i="62"/>
  <c r="AD12" i="62"/>
  <c r="AD13" i="62" s="1"/>
  <c r="AC12" i="62"/>
  <c r="AB12" i="62"/>
  <c r="AB13" i="62" s="1"/>
  <c r="AA12" i="62"/>
  <c r="Z12" i="62"/>
  <c r="Z13" i="62" s="1"/>
  <c r="Y12" i="62"/>
  <c r="X12" i="62"/>
  <c r="X13" i="62" s="1"/>
  <c r="W12" i="62"/>
  <c r="W13" i="62" s="1"/>
  <c r="V12" i="62"/>
  <c r="V13" i="62" s="1"/>
  <c r="U12" i="62"/>
  <c r="S12" i="62"/>
  <c r="R12" i="62"/>
  <c r="R13" i="62" s="1"/>
  <c r="Q12" i="62"/>
  <c r="P12" i="62"/>
  <c r="P13" i="62" s="1"/>
  <c r="O12" i="62"/>
  <c r="O13" i="62" s="1"/>
  <c r="N12" i="62"/>
  <c r="N13" i="62" s="1"/>
  <c r="M12" i="62"/>
  <c r="L12" i="62"/>
  <c r="L13" i="62" s="1"/>
  <c r="K12" i="62"/>
  <c r="K13" i="62" s="1"/>
  <c r="J12" i="62"/>
  <c r="J13" i="62" s="1"/>
  <c r="I12" i="62"/>
  <c r="I13" i="62" s="1"/>
  <c r="H12" i="62"/>
  <c r="H13" i="62" s="1"/>
  <c r="G12" i="62"/>
  <c r="G13" i="62" s="1"/>
  <c r="J10" i="62"/>
  <c r="AD9" i="62"/>
  <c r="AD10" i="62" s="1"/>
  <c r="AC9" i="62"/>
  <c r="AC10" i="62" s="1"/>
  <c r="AB9" i="62"/>
  <c r="AB10" i="62" s="1"/>
  <c r="AA9" i="62"/>
  <c r="AA10" i="62" s="1"/>
  <c r="Z9" i="62"/>
  <c r="Y9" i="62"/>
  <c r="X9" i="62"/>
  <c r="X10" i="62" s="1"/>
  <c r="W9" i="62"/>
  <c r="W10" i="62" s="1"/>
  <c r="V9" i="62"/>
  <c r="V10" i="62" s="1"/>
  <c r="U9" i="62"/>
  <c r="U10" i="62" s="1"/>
  <c r="S9" i="62"/>
  <c r="S10" i="62" s="1"/>
  <c r="R9" i="62"/>
  <c r="Q9" i="62"/>
  <c r="Q10" i="62" s="1"/>
  <c r="P9" i="62"/>
  <c r="P10" i="62" s="1"/>
  <c r="O9" i="62"/>
  <c r="O10" i="62" s="1"/>
  <c r="N9" i="62"/>
  <c r="N10" i="62" s="1"/>
  <c r="M9" i="62"/>
  <c r="M10" i="62" s="1"/>
  <c r="L9" i="62"/>
  <c r="L10" i="62" s="1"/>
  <c r="K9" i="62"/>
  <c r="K10" i="62" s="1"/>
  <c r="J9" i="62"/>
  <c r="I9" i="62"/>
  <c r="I10" i="62" s="1"/>
  <c r="H9" i="62"/>
  <c r="H10" i="62" s="1"/>
  <c r="G9" i="62"/>
  <c r="G10" i="62" s="1"/>
  <c r="AD7" i="62"/>
  <c r="AC7" i="62"/>
  <c r="AB7" i="62"/>
  <c r="AA7" i="62"/>
  <c r="Z7" i="62"/>
  <c r="Y7" i="62"/>
  <c r="X7" i="62"/>
  <c r="W7" i="62"/>
  <c r="V7" i="62"/>
  <c r="U7" i="62"/>
  <c r="S7" i="62"/>
  <c r="R7" i="62"/>
  <c r="Q7" i="62"/>
  <c r="P7" i="62"/>
  <c r="O7" i="62"/>
  <c r="N7" i="62"/>
  <c r="M7" i="62"/>
  <c r="J7" i="62"/>
  <c r="L6" i="62"/>
  <c r="L7" i="62" s="1"/>
  <c r="K6" i="62"/>
  <c r="J6" i="62"/>
  <c r="I6" i="62"/>
  <c r="I7" i="62" s="1"/>
  <c r="H6" i="62"/>
  <c r="H7" i="62" s="1"/>
  <c r="G6" i="62"/>
  <c r="M107" i="59"/>
  <c r="N20" i="59" s="1"/>
  <c r="J107" i="59"/>
  <c r="M101" i="59"/>
  <c r="M20" i="59" s="1"/>
  <c r="J101" i="59"/>
  <c r="M95" i="59"/>
  <c r="L20" i="59" s="1"/>
  <c r="J95" i="59"/>
  <c r="M89" i="59"/>
  <c r="J89" i="59"/>
  <c r="M83" i="59"/>
  <c r="M77" i="59"/>
  <c r="I20" i="59" s="1"/>
  <c r="M71" i="59"/>
  <c r="H20" i="59" s="1"/>
  <c r="M65" i="59"/>
  <c r="G20" i="59" s="1"/>
  <c r="I64" i="59"/>
  <c r="I63" i="59"/>
  <c r="I62" i="59"/>
  <c r="I61" i="59"/>
  <c r="I60" i="59"/>
  <c r="M59" i="59"/>
  <c r="I59" i="59"/>
  <c r="I58" i="59"/>
  <c r="I57" i="59"/>
  <c r="I56" i="59"/>
  <c r="I55" i="59"/>
  <c r="I54" i="59"/>
  <c r="J53" i="59" s="1"/>
  <c r="M53" i="59"/>
  <c r="I53" i="59"/>
  <c r="I52" i="59"/>
  <c r="I51" i="59"/>
  <c r="I50" i="59"/>
  <c r="I49" i="59"/>
  <c r="I48" i="59"/>
  <c r="J47" i="59" s="1"/>
  <c r="M47" i="59"/>
  <c r="I47" i="59"/>
  <c r="I45" i="59"/>
  <c r="I44" i="59"/>
  <c r="I43" i="59"/>
  <c r="I42" i="59"/>
  <c r="M41" i="59"/>
  <c r="C20" i="59" s="1"/>
  <c r="I41" i="59"/>
  <c r="A37" i="59"/>
  <c r="A36" i="59"/>
  <c r="A35" i="59"/>
  <c r="A34" i="59"/>
  <c r="A33" i="59"/>
  <c r="A32" i="59"/>
  <c r="A31" i="59"/>
  <c r="A30" i="59"/>
  <c r="A29" i="59"/>
  <c r="A28" i="59"/>
  <c r="A27" i="59"/>
  <c r="A26" i="59"/>
  <c r="F20" i="59"/>
  <c r="E20" i="59"/>
  <c r="D20" i="59"/>
  <c r="AM10" i="1"/>
  <c r="AM7" i="1"/>
  <c r="L36" i="1"/>
  <c r="E45" i="80"/>
  <c r="F45" i="80"/>
  <c r="G45" i="80"/>
  <c r="G49" i="70"/>
  <c r="I23" i="70" s="1"/>
  <c r="G50" i="70"/>
  <c r="I21" i="70"/>
  <c r="M50" i="69"/>
  <c r="M51" i="69"/>
  <c r="M49" i="69"/>
  <c r="M48" i="69"/>
  <c r="M47" i="69"/>
  <c r="M46" i="68"/>
  <c r="M45" i="68"/>
  <c r="M44" i="68"/>
  <c r="M43" i="68"/>
  <c r="J59" i="59" l="1"/>
  <c r="J65" i="59"/>
  <c r="J71" i="59"/>
  <c r="J20" i="59"/>
  <c r="K20" i="59"/>
  <c r="J41" i="59"/>
  <c r="Y77" i="62"/>
  <c r="Y78" i="62" s="1"/>
  <c r="Y79" i="62" s="1"/>
  <c r="AB77" i="62"/>
  <c r="O80" i="62"/>
  <c r="I77" i="62"/>
  <c r="J77" i="62"/>
  <c r="R77" i="62"/>
  <c r="Z77" i="62"/>
  <c r="Z10" i="62"/>
  <c r="Y13" i="62"/>
  <c r="Y80" i="62" s="1"/>
  <c r="Q77" i="62"/>
  <c r="Q80" i="62"/>
  <c r="Y10" i="62"/>
  <c r="AC80" i="62"/>
  <c r="K7" i="62"/>
  <c r="K80" i="62" s="1"/>
  <c r="G7" i="62"/>
  <c r="G80" i="62"/>
  <c r="T77" i="62"/>
  <c r="M80" i="62"/>
  <c r="M77" i="62"/>
  <c r="U77" i="62"/>
  <c r="AC77" i="62"/>
  <c r="AC78" i="62" s="1"/>
  <c r="AC79" i="62" s="1"/>
  <c r="R10" i="62"/>
  <c r="Q13" i="62"/>
  <c r="L77" i="62"/>
  <c r="I80" i="62"/>
  <c r="N77" i="62"/>
  <c r="V77" i="62"/>
  <c r="AD77" i="62"/>
  <c r="U13" i="62"/>
  <c r="U80" i="62" s="1"/>
  <c r="K77" i="62"/>
  <c r="S77" i="62"/>
  <c r="AA77" i="62"/>
  <c r="AA78" i="62" s="1"/>
  <c r="AA79" i="62" s="1"/>
  <c r="S13" i="62"/>
  <c r="S80" i="62" s="1"/>
  <c r="AA13" i="62"/>
  <c r="AA80" i="62" s="1"/>
  <c r="G77" i="62"/>
  <c r="O77" i="62"/>
  <c r="W77" i="62"/>
  <c r="H77" i="62"/>
  <c r="P77" i="62"/>
  <c r="X77" i="62"/>
  <c r="E45" i="87"/>
  <c r="D45" i="87"/>
  <c r="F45" i="87"/>
  <c r="F44" i="87" s="1"/>
  <c r="G45" i="87"/>
  <c r="H45" i="87"/>
  <c r="I45" i="87"/>
  <c r="J45" i="87"/>
  <c r="K45" i="87"/>
  <c r="L45" i="87"/>
  <c r="M45" i="87"/>
  <c r="N45" i="87"/>
  <c r="C45" i="87"/>
  <c r="C44" i="87" s="1"/>
  <c r="A36" i="88"/>
  <c r="A35" i="88"/>
  <c r="A34" i="88"/>
  <c r="A33" i="88"/>
  <c r="A32" i="88"/>
  <c r="A31" i="88"/>
  <c r="A30" i="88"/>
  <c r="A29" i="88"/>
  <c r="A28" i="88"/>
  <c r="A27" i="88"/>
  <c r="A26" i="88"/>
  <c r="A25" i="88"/>
  <c r="A36" i="87"/>
  <c r="A35" i="87"/>
  <c r="A34" i="87"/>
  <c r="A33" i="87"/>
  <c r="A32" i="87"/>
  <c r="A31" i="87"/>
  <c r="A30" i="87"/>
  <c r="A29" i="87"/>
  <c r="A28" i="87"/>
  <c r="A27" i="87"/>
  <c r="A26" i="87"/>
  <c r="A25" i="87"/>
  <c r="A36" i="82"/>
  <c r="A35" i="82"/>
  <c r="A34" i="82"/>
  <c r="A33" i="82"/>
  <c r="A32" i="82"/>
  <c r="A31" i="82"/>
  <c r="A30" i="82"/>
  <c r="A29" i="82"/>
  <c r="A28" i="82"/>
  <c r="A27" i="82"/>
  <c r="A26" i="82"/>
  <c r="A25" i="82"/>
  <c r="A37" i="80"/>
  <c r="A36" i="80"/>
  <c r="A35" i="80"/>
  <c r="A34" i="80"/>
  <c r="A33" i="80"/>
  <c r="A32" i="80"/>
  <c r="A31" i="80"/>
  <c r="A30" i="80"/>
  <c r="A29" i="80"/>
  <c r="A28" i="80"/>
  <c r="A27" i="80"/>
  <c r="A26" i="80"/>
  <c r="A25" i="80"/>
  <c r="W78" i="62" l="1"/>
  <c r="W79" i="62" s="1"/>
  <c r="G79" i="62"/>
  <c r="M78" i="62"/>
  <c r="M79" i="62" s="1"/>
  <c r="S78" i="62"/>
  <c r="S79" i="62" s="1"/>
  <c r="Q78" i="62"/>
  <c r="Q79" i="62" s="1"/>
  <c r="I79" i="62"/>
  <c r="K79" i="62"/>
  <c r="O78" i="62"/>
  <c r="O79" i="62" s="1"/>
  <c r="U78" i="62"/>
  <c r="U79" i="62" s="1"/>
  <c r="A36" i="81"/>
  <c r="A35" i="81"/>
  <c r="A34" i="81"/>
  <c r="A33" i="81"/>
  <c r="A32" i="81"/>
  <c r="A31" i="81"/>
  <c r="A30" i="81"/>
  <c r="A29" i="81"/>
  <c r="A28" i="81"/>
  <c r="A27" i="81"/>
  <c r="A26" i="81"/>
  <c r="A25" i="81"/>
  <c r="H21" i="63" l="1"/>
  <c r="H42" i="67"/>
  <c r="G42" i="67"/>
  <c r="F42" i="67"/>
  <c r="E42" i="67"/>
  <c r="L48" i="80"/>
  <c r="L47" i="80" s="1"/>
  <c r="L20" i="80" s="1"/>
  <c r="L46" i="80"/>
  <c r="C46" i="80"/>
  <c r="L42" i="80"/>
  <c r="M42" i="80"/>
  <c r="N42" i="80"/>
  <c r="J42" i="80"/>
  <c r="E41" i="81"/>
  <c r="D41" i="81"/>
  <c r="T15" i="1"/>
  <c r="M20" i="67"/>
  <c r="N20" i="67"/>
  <c r="G76" i="66"/>
  <c r="H76" i="66"/>
  <c r="I76" i="66"/>
  <c r="J76" i="66"/>
  <c r="K76" i="66"/>
  <c r="L76" i="66"/>
  <c r="M76" i="66"/>
  <c r="N76" i="66"/>
  <c r="D72" i="66"/>
  <c r="E72" i="66"/>
  <c r="F72" i="66"/>
  <c r="G72" i="66"/>
  <c r="H72" i="66"/>
  <c r="I72" i="66"/>
  <c r="J72" i="66"/>
  <c r="K72" i="66"/>
  <c r="L72" i="66"/>
  <c r="M72" i="66"/>
  <c r="N72" i="66"/>
  <c r="F69" i="66"/>
  <c r="G69" i="66"/>
  <c r="H69" i="66"/>
  <c r="I69" i="66"/>
  <c r="J69" i="66"/>
  <c r="K69" i="66"/>
  <c r="L69" i="66"/>
  <c r="M69" i="66"/>
  <c r="N69" i="66"/>
  <c r="P41" i="67" s="1"/>
  <c r="F66" i="66"/>
  <c r="G66" i="66"/>
  <c r="I40" i="67" s="1"/>
  <c r="H66" i="66"/>
  <c r="J40" i="67" s="1"/>
  <c r="I66" i="66"/>
  <c r="K40" i="67" s="1"/>
  <c r="J66" i="66"/>
  <c r="K66" i="66"/>
  <c r="L66" i="66"/>
  <c r="M66" i="66"/>
  <c r="N66" i="66"/>
  <c r="F41" i="61"/>
  <c r="C41" i="61"/>
  <c r="N51" i="64"/>
  <c r="D42" i="64"/>
  <c r="N52" i="64"/>
  <c r="N53" i="64"/>
  <c r="F42" i="64"/>
  <c r="N54" i="64"/>
  <c r="G42" i="64"/>
  <c r="N55" i="64"/>
  <c r="N56" i="64"/>
  <c r="I42" i="64"/>
  <c r="N57" i="64"/>
  <c r="J42" i="64" s="1"/>
  <c r="N58" i="64"/>
  <c r="K42" i="64" s="1"/>
  <c r="N59" i="64"/>
  <c r="N60" i="64"/>
  <c r="M41" i="64" s="1"/>
  <c r="M42" i="64" s="1"/>
  <c r="N61" i="64"/>
  <c r="N41" i="64" s="1"/>
  <c r="N42" i="64" s="1"/>
  <c r="N50" i="64"/>
  <c r="C42" i="64"/>
  <c r="E42" i="64"/>
  <c r="L41" i="64"/>
  <c r="L42" i="64"/>
  <c r="H42" i="64"/>
  <c r="AM13" i="1"/>
  <c r="D48" i="80"/>
  <c r="E48" i="80"/>
  <c r="E47" i="80" s="1"/>
  <c r="E20" i="80" s="1"/>
  <c r="F48" i="80"/>
  <c r="F47" i="80" s="1"/>
  <c r="F20" i="80" s="1"/>
  <c r="G48" i="80"/>
  <c r="G47" i="80" s="1"/>
  <c r="G20" i="80" s="1"/>
  <c r="H48" i="80"/>
  <c r="H47" i="80" s="1"/>
  <c r="H20" i="80" s="1"/>
  <c r="I48" i="80"/>
  <c r="I47" i="80" s="1"/>
  <c r="J48" i="80"/>
  <c r="J47" i="80" s="1"/>
  <c r="J20" i="80" s="1"/>
  <c r="K48" i="80"/>
  <c r="K47" i="80" s="1"/>
  <c r="K20" i="80" s="1"/>
  <c r="M48" i="80"/>
  <c r="M47" i="80" s="1"/>
  <c r="M20" i="80" s="1"/>
  <c r="N48" i="80"/>
  <c r="N47" i="80" s="1"/>
  <c r="N20" i="80" s="1"/>
  <c r="C48" i="80"/>
  <c r="C47" i="80" s="1"/>
  <c r="C20" i="80" s="1"/>
  <c r="P40" i="81"/>
  <c r="Q40" i="81" s="1"/>
  <c r="O40" i="79"/>
  <c r="C49" i="79" s="1"/>
  <c r="I44" i="90"/>
  <c r="L20" i="90" s="1"/>
  <c r="L21" i="90"/>
  <c r="J21" i="90" s="1"/>
  <c r="L43" i="77"/>
  <c r="F21" i="90"/>
  <c r="H21" i="90"/>
  <c r="D21" i="90"/>
  <c r="E21" i="90"/>
  <c r="I21" i="90"/>
  <c r="C40" i="90"/>
  <c r="D40" i="90"/>
  <c r="E40" i="90" s="1"/>
  <c r="F40" i="90" s="1"/>
  <c r="G40" i="90" s="1"/>
  <c r="H40" i="90" s="1"/>
  <c r="I40" i="90" s="1"/>
  <c r="J40" i="90" s="1"/>
  <c r="K40" i="90" s="1"/>
  <c r="L40" i="90" s="1"/>
  <c r="M40" i="90" s="1"/>
  <c r="N40" i="90" s="1"/>
  <c r="C21" i="90"/>
  <c r="L46" i="79"/>
  <c r="L45" i="79" s="1"/>
  <c r="L20" i="79" s="1"/>
  <c r="L44" i="79"/>
  <c r="I36" i="74"/>
  <c r="I22" i="74" s="1"/>
  <c r="I23" i="74" s="1"/>
  <c r="I35" i="74"/>
  <c r="J35" i="74"/>
  <c r="K35" i="74"/>
  <c r="L35" i="74"/>
  <c r="D60" i="89"/>
  <c r="C60" i="89"/>
  <c r="L77" i="66"/>
  <c r="L21" i="63"/>
  <c r="L21" i="61"/>
  <c r="N34" i="1"/>
  <c r="AM11" i="1"/>
  <c r="L34" i="1"/>
  <c r="A4" i="84" s="1"/>
  <c r="L41" i="1"/>
  <c r="A11" i="84" s="1"/>
  <c r="A10" i="84"/>
  <c r="L39" i="1"/>
  <c r="A9" i="84" s="1"/>
  <c r="L38" i="1"/>
  <c r="A8" i="84" s="1"/>
  <c r="L37" i="1"/>
  <c r="L35" i="1"/>
  <c r="A5" i="84" s="1"/>
  <c r="AM23" i="1"/>
  <c r="AM20" i="1"/>
  <c r="AM14" i="1"/>
  <c r="AM3" i="1"/>
  <c r="S45" i="89"/>
  <c r="E66" i="89"/>
  <c r="C20" i="89"/>
  <c r="U66" i="89"/>
  <c r="U67" i="89" s="1"/>
  <c r="U68" i="89" s="1"/>
  <c r="U69" i="89" s="1"/>
  <c r="U70" i="89" s="1"/>
  <c r="U71" i="89" s="1"/>
  <c r="U72" i="89" s="1"/>
  <c r="U73" i="89" s="1"/>
  <c r="U74" i="89" s="1"/>
  <c r="U75" i="89" s="1"/>
  <c r="U76" i="89" s="1"/>
  <c r="U77" i="89" s="1"/>
  <c r="U78" i="89" s="1"/>
  <c r="U79" i="89" s="1"/>
  <c r="U80" i="89" s="1"/>
  <c r="U81" i="89" s="1"/>
  <c r="S65" i="89"/>
  <c r="L44" i="87"/>
  <c r="D44" i="87"/>
  <c r="E44" i="87"/>
  <c r="P22" i="1" s="1"/>
  <c r="Q22" i="1"/>
  <c r="G44" i="87"/>
  <c r="H44" i="87"/>
  <c r="H20" i="87" s="1"/>
  <c r="S22" i="1" s="1"/>
  <c r="I44" i="87"/>
  <c r="I20" i="87" s="1"/>
  <c r="T22" i="1" s="1"/>
  <c r="J44" i="87"/>
  <c r="J20" i="87" s="1"/>
  <c r="K44" i="87"/>
  <c r="N46" i="79"/>
  <c r="M46" i="79"/>
  <c r="M45" i="79" s="1"/>
  <c r="M20" i="79" s="1"/>
  <c r="K46" i="79"/>
  <c r="J46" i="79"/>
  <c r="J45" i="79" s="1"/>
  <c r="J20" i="79" s="1"/>
  <c r="I46" i="79"/>
  <c r="I45" i="79" s="1"/>
  <c r="I20" i="79" s="1"/>
  <c r="T23" i="1" s="1"/>
  <c r="H46" i="79"/>
  <c r="H45" i="79" s="1"/>
  <c r="H20" i="79" s="1"/>
  <c r="S23" i="1" s="1"/>
  <c r="G46" i="79"/>
  <c r="G45" i="79" s="1"/>
  <c r="G20" i="79" s="1"/>
  <c r="R23" i="1" s="1"/>
  <c r="F46" i="79"/>
  <c r="F45" i="79" s="1"/>
  <c r="F20" i="79" s="1"/>
  <c r="Q23" i="1" s="1"/>
  <c r="F65" i="89"/>
  <c r="F66" i="89" s="1"/>
  <c r="D20" i="89" s="1"/>
  <c r="G65" i="89"/>
  <c r="H65" i="89" s="1"/>
  <c r="E60" i="89"/>
  <c r="F60" i="89"/>
  <c r="C61" i="89" s="1"/>
  <c r="G60" i="89"/>
  <c r="H60" i="89"/>
  <c r="I60" i="89"/>
  <c r="J60" i="89"/>
  <c r="K60" i="89"/>
  <c r="L60" i="89"/>
  <c r="M60" i="89"/>
  <c r="N60" i="89"/>
  <c r="O60" i="89"/>
  <c r="P60" i="89"/>
  <c r="Q60" i="89"/>
  <c r="R60" i="89"/>
  <c r="S51" i="89"/>
  <c r="S47" i="89"/>
  <c r="S43" i="89"/>
  <c r="A37" i="89"/>
  <c r="A36" i="89"/>
  <c r="A35" i="89"/>
  <c r="A34" i="89"/>
  <c r="A33" i="89"/>
  <c r="A32" i="89"/>
  <c r="A31" i="89"/>
  <c r="A30" i="89"/>
  <c r="A29" i="89"/>
  <c r="A28" i="89"/>
  <c r="A27" i="89"/>
  <c r="A26" i="89"/>
  <c r="I43" i="76"/>
  <c r="I44" i="76" s="1"/>
  <c r="J43" i="76"/>
  <c r="J44" i="76" s="1"/>
  <c r="K43" i="76"/>
  <c r="K44" i="76" s="1"/>
  <c r="L43" i="76"/>
  <c r="L44" i="76" s="1"/>
  <c r="M43" i="76"/>
  <c r="M44" i="76" s="1"/>
  <c r="N43" i="76"/>
  <c r="D43" i="76"/>
  <c r="D44" i="76" s="1"/>
  <c r="F43" i="76"/>
  <c r="F44" i="76" s="1"/>
  <c r="G43" i="76"/>
  <c r="G44" i="76" s="1"/>
  <c r="H43" i="76"/>
  <c r="H20" i="76" s="1"/>
  <c r="S20" i="1" s="1"/>
  <c r="C41" i="76"/>
  <c r="E41" i="76" s="1"/>
  <c r="G41" i="76" s="1"/>
  <c r="H41" i="76" s="1"/>
  <c r="I41" i="76" s="1"/>
  <c r="J41" i="76" s="1"/>
  <c r="K41" i="76" s="1"/>
  <c r="L41" i="76" s="1"/>
  <c r="M41" i="76" s="1"/>
  <c r="N41" i="76" s="1"/>
  <c r="L20" i="67"/>
  <c r="K20" i="67"/>
  <c r="J20" i="67"/>
  <c r="J16" i="66"/>
  <c r="F76" i="66"/>
  <c r="I16" i="66"/>
  <c r="E76" i="66" s="1"/>
  <c r="H16" i="66"/>
  <c r="D76" i="66" s="1"/>
  <c r="G16" i="66"/>
  <c r="C76" i="66" s="1"/>
  <c r="A38" i="64"/>
  <c r="A37" i="64"/>
  <c r="A36" i="64"/>
  <c r="A35" i="64"/>
  <c r="A34" i="64"/>
  <c r="A33" i="64"/>
  <c r="A32" i="64"/>
  <c r="A31" i="64"/>
  <c r="A30" i="64"/>
  <c r="A29" i="64"/>
  <c r="A28" i="64"/>
  <c r="A27" i="64"/>
  <c r="A38" i="63"/>
  <c r="A37" i="63"/>
  <c r="A36" i="63"/>
  <c r="A35" i="63"/>
  <c r="A34" i="63"/>
  <c r="A33" i="63"/>
  <c r="A32" i="63"/>
  <c r="A31" i="63"/>
  <c r="A30" i="63"/>
  <c r="A29" i="63"/>
  <c r="A28" i="63"/>
  <c r="A27" i="63"/>
  <c r="N41" i="61"/>
  <c r="N44" i="61"/>
  <c r="M41" i="61"/>
  <c r="M44" i="61" s="1"/>
  <c r="L41" i="61"/>
  <c r="L44" i="61" s="1"/>
  <c r="K41" i="61"/>
  <c r="K44" i="61" s="1"/>
  <c r="J41" i="61"/>
  <c r="J44" i="61"/>
  <c r="I41" i="61"/>
  <c r="I44" i="61" s="1"/>
  <c r="H41" i="61"/>
  <c r="H44" i="61" s="1"/>
  <c r="G41" i="61"/>
  <c r="G44" i="61" s="1"/>
  <c r="F44" i="61"/>
  <c r="E41" i="61"/>
  <c r="E44" i="61" s="1"/>
  <c r="D41" i="61"/>
  <c r="D44" i="61"/>
  <c r="C44" i="61"/>
  <c r="A38" i="61"/>
  <c r="A37" i="61"/>
  <c r="A36" i="61"/>
  <c r="A35" i="61"/>
  <c r="A34" i="61"/>
  <c r="A33" i="61"/>
  <c r="A32" i="61"/>
  <c r="A31" i="61"/>
  <c r="A30" i="61"/>
  <c r="A29" i="61"/>
  <c r="A28" i="61"/>
  <c r="A27" i="61"/>
  <c r="G51" i="60"/>
  <c r="N20" i="60" s="1"/>
  <c r="G50" i="60"/>
  <c r="H50" i="60" s="1"/>
  <c r="G49" i="60"/>
  <c r="H49" i="60" s="1"/>
  <c r="G48" i="60"/>
  <c r="K20" i="60" s="1"/>
  <c r="G47" i="60"/>
  <c r="J20" i="60" s="1"/>
  <c r="G46" i="60"/>
  <c r="I20" i="60" s="1"/>
  <c r="T4" i="1" s="1"/>
  <c r="G45" i="60"/>
  <c r="H20" i="60" s="1"/>
  <c r="S4" i="1" s="1"/>
  <c r="G44" i="60"/>
  <c r="G20" i="60" s="1"/>
  <c r="R4" i="1" s="1"/>
  <c r="G43" i="60"/>
  <c r="H43" i="60" s="1"/>
  <c r="G42" i="60"/>
  <c r="H42" i="60" s="1"/>
  <c r="G41" i="60"/>
  <c r="D20" i="60" s="1"/>
  <c r="O4" i="1" s="1"/>
  <c r="H41" i="60"/>
  <c r="H40" i="60"/>
  <c r="A37" i="60"/>
  <c r="A36" i="60"/>
  <c r="A35" i="60"/>
  <c r="A34" i="60"/>
  <c r="A33" i="60"/>
  <c r="A32" i="60"/>
  <c r="A31" i="60"/>
  <c r="A30" i="60"/>
  <c r="A29" i="60"/>
  <c r="A28" i="60"/>
  <c r="A27" i="60"/>
  <c r="A26" i="60"/>
  <c r="N3" i="1"/>
  <c r="N44" i="76"/>
  <c r="N20" i="76"/>
  <c r="H32" i="75"/>
  <c r="J32" i="75"/>
  <c r="L20" i="75" s="1"/>
  <c r="F20" i="75"/>
  <c r="J21" i="63"/>
  <c r="I21" i="63"/>
  <c r="T7" i="1" s="1"/>
  <c r="E20" i="67"/>
  <c r="A37" i="67"/>
  <c r="A36" i="67"/>
  <c r="A35" i="67"/>
  <c r="A34" i="67"/>
  <c r="A33" i="67"/>
  <c r="A32" i="67"/>
  <c r="A31" i="67"/>
  <c r="A30" i="67"/>
  <c r="A29" i="67"/>
  <c r="A28" i="67"/>
  <c r="A27" i="67"/>
  <c r="A26" i="67"/>
  <c r="F20" i="67"/>
  <c r="D20" i="67"/>
  <c r="C20" i="67"/>
  <c r="N9" i="1" s="1"/>
  <c r="N77" i="66"/>
  <c r="M77" i="66"/>
  <c r="K77" i="66"/>
  <c r="J77" i="66"/>
  <c r="I77" i="66"/>
  <c r="H77" i="66"/>
  <c r="G77" i="66"/>
  <c r="F77" i="66"/>
  <c r="E77" i="66"/>
  <c r="D77" i="66"/>
  <c r="C77" i="66"/>
  <c r="C72" i="66"/>
  <c r="O41" i="67"/>
  <c r="N41" i="67"/>
  <c r="H41" i="67"/>
  <c r="E69" i="66"/>
  <c r="G41" i="67" s="1"/>
  <c r="D69" i="66"/>
  <c r="F41" i="67"/>
  <c r="C69" i="66"/>
  <c r="E41" i="67"/>
  <c r="O40" i="67"/>
  <c r="N40" i="67"/>
  <c r="H40" i="67"/>
  <c r="E66" i="66"/>
  <c r="G40" i="67" s="1"/>
  <c r="D66" i="66"/>
  <c r="F40" i="67" s="1"/>
  <c r="C66" i="66"/>
  <c r="E40" i="67"/>
  <c r="T8" i="66"/>
  <c r="T9" i="66"/>
  <c r="Q60" i="61"/>
  <c r="T53" i="61" s="1"/>
  <c r="T54" i="61" s="1"/>
  <c r="T55" i="61" s="1"/>
  <c r="T56" i="61" s="1"/>
  <c r="Q59" i="61"/>
  <c r="T52" i="61"/>
  <c r="Q58" i="61"/>
  <c r="Q57" i="61"/>
  <c r="Q56" i="61"/>
  <c r="Q55" i="61"/>
  <c r="Q54" i="61"/>
  <c r="Q53" i="61"/>
  <c r="Q52" i="61"/>
  <c r="Q51" i="61"/>
  <c r="Q50" i="61"/>
  <c r="Q49" i="61"/>
  <c r="Q48" i="61"/>
  <c r="Q47" i="61"/>
  <c r="Q46" i="61"/>
  <c r="Q45" i="61"/>
  <c r="Q44" i="61"/>
  <c r="Q43" i="61"/>
  <c r="Q42" i="61"/>
  <c r="Q41" i="61"/>
  <c r="Q40" i="61"/>
  <c r="Q39" i="61"/>
  <c r="Q38" i="61"/>
  <c r="Q37" i="61"/>
  <c r="R37" i="61"/>
  <c r="N21" i="61"/>
  <c r="M21" i="61"/>
  <c r="M20" i="60"/>
  <c r="C20" i="60"/>
  <c r="N4" i="1" s="1"/>
  <c r="R38" i="61"/>
  <c r="R39" i="61"/>
  <c r="R40" i="61"/>
  <c r="R41" i="61" s="1"/>
  <c r="K21" i="61"/>
  <c r="G21" i="61"/>
  <c r="H21" i="61"/>
  <c r="J21" i="61"/>
  <c r="I21" i="61"/>
  <c r="J41" i="81"/>
  <c r="M57" i="69"/>
  <c r="M56" i="69"/>
  <c r="M55" i="69"/>
  <c r="M54" i="69"/>
  <c r="M53" i="69"/>
  <c r="C45" i="88"/>
  <c r="C44" i="88" s="1"/>
  <c r="H41" i="81"/>
  <c r="F41" i="81"/>
  <c r="F39" i="81" s="1"/>
  <c r="G20" i="87"/>
  <c r="R22" i="1" s="1"/>
  <c r="K20" i="87"/>
  <c r="M44" i="87"/>
  <c r="N44" i="87"/>
  <c r="P10" i="87"/>
  <c r="G43" i="80"/>
  <c r="G41" i="81"/>
  <c r="E43" i="76"/>
  <c r="E44" i="76" s="1"/>
  <c r="P13" i="1"/>
  <c r="AB13" i="1" s="1"/>
  <c r="K39" i="75"/>
  <c r="K40" i="75"/>
  <c r="K41" i="75"/>
  <c r="K42" i="75"/>
  <c r="K43" i="75"/>
  <c r="K44" i="75"/>
  <c r="K45" i="75"/>
  <c r="K46" i="75"/>
  <c r="K47" i="75"/>
  <c r="K38" i="75"/>
  <c r="C42" i="76"/>
  <c r="D42" i="76" s="1"/>
  <c r="G42" i="76" s="1"/>
  <c r="H42" i="76" s="1"/>
  <c r="I42" i="76" s="1"/>
  <c r="J42" i="76" s="1"/>
  <c r="K42" i="76" s="1"/>
  <c r="L42" i="76" s="1"/>
  <c r="M42" i="76" s="1"/>
  <c r="N42" i="76" s="1"/>
  <c r="C43" i="76"/>
  <c r="C20" i="76" s="1"/>
  <c r="N20" i="1" s="1"/>
  <c r="G20" i="70"/>
  <c r="I20" i="68"/>
  <c r="D43" i="81"/>
  <c r="D44" i="81" s="1"/>
  <c r="D20" i="81" s="1"/>
  <c r="N47" i="88"/>
  <c r="M47" i="88"/>
  <c r="L47" i="88"/>
  <c r="K47" i="88"/>
  <c r="J47" i="88"/>
  <c r="I47" i="88"/>
  <c r="H47" i="88"/>
  <c r="G47" i="88"/>
  <c r="F47" i="88"/>
  <c r="E47" i="88"/>
  <c r="D47" i="88"/>
  <c r="C47" i="88"/>
  <c r="N46" i="88"/>
  <c r="M46" i="88"/>
  <c r="L46" i="88"/>
  <c r="K46" i="88"/>
  <c r="J46" i="88"/>
  <c r="I46" i="88"/>
  <c r="H46" i="88"/>
  <c r="G46" i="88"/>
  <c r="F46" i="88"/>
  <c r="E46" i="88"/>
  <c r="D46" i="88"/>
  <c r="C46" i="88"/>
  <c r="N45" i="88"/>
  <c r="N44" i="88" s="1"/>
  <c r="N20" i="88" s="1"/>
  <c r="M45" i="88"/>
  <c r="M44" i="88" s="1"/>
  <c r="M20" i="88" s="1"/>
  <c r="L45" i="88"/>
  <c r="L44" i="88" s="1"/>
  <c r="L20" i="88" s="1"/>
  <c r="K45" i="88"/>
  <c r="K44" i="88" s="1"/>
  <c r="K20" i="88" s="1"/>
  <c r="J45" i="88"/>
  <c r="J44" i="88" s="1"/>
  <c r="J20" i="88" s="1"/>
  <c r="I45" i="88"/>
  <c r="I44" i="88" s="1"/>
  <c r="I20" i="88" s="1"/>
  <c r="T21" i="1" s="1"/>
  <c r="H45" i="88"/>
  <c r="H44" i="88" s="1"/>
  <c r="H20" i="88" s="1"/>
  <c r="S21" i="1" s="1"/>
  <c r="G45" i="88"/>
  <c r="G44" i="88" s="1"/>
  <c r="G20" i="88" s="1"/>
  <c r="R21" i="1" s="1"/>
  <c r="F45" i="88"/>
  <c r="F44" i="88" s="1"/>
  <c r="F20" i="88" s="1"/>
  <c r="Q21" i="1" s="1"/>
  <c r="E45" i="88"/>
  <c r="E44" i="88" s="1"/>
  <c r="E20" i="88" s="1"/>
  <c r="P21" i="1" s="1"/>
  <c r="D45" i="88"/>
  <c r="D44" i="88" s="1"/>
  <c r="D20" i="88" s="1"/>
  <c r="O21" i="1" s="1"/>
  <c r="N43" i="88"/>
  <c r="M43" i="88"/>
  <c r="L43" i="88"/>
  <c r="K43" i="88"/>
  <c r="J43" i="88"/>
  <c r="I43" i="88"/>
  <c r="H43" i="88"/>
  <c r="G43" i="88"/>
  <c r="F43" i="88"/>
  <c r="E43" i="88"/>
  <c r="D43" i="88"/>
  <c r="C43" i="88"/>
  <c r="A37" i="88"/>
  <c r="N47" i="87"/>
  <c r="M47" i="87"/>
  <c r="L47" i="87"/>
  <c r="K47" i="87"/>
  <c r="J47" i="87"/>
  <c r="I47" i="87"/>
  <c r="H47" i="87"/>
  <c r="G47" i="87"/>
  <c r="F47" i="87"/>
  <c r="E47" i="87"/>
  <c r="D47" i="87"/>
  <c r="C47" i="87"/>
  <c r="N46" i="87"/>
  <c r="M46" i="87"/>
  <c r="L46" i="87"/>
  <c r="K46" i="87"/>
  <c r="J46" i="87"/>
  <c r="I46" i="87"/>
  <c r="H46" i="87"/>
  <c r="G46" i="87"/>
  <c r="F46" i="87"/>
  <c r="E46" i="87"/>
  <c r="D46" i="87"/>
  <c r="C46" i="87"/>
  <c r="N43" i="87"/>
  <c r="M43" i="87"/>
  <c r="L43" i="87"/>
  <c r="K43" i="87"/>
  <c r="J43" i="87"/>
  <c r="I43" i="87"/>
  <c r="H43" i="87"/>
  <c r="G43" i="87"/>
  <c r="F43" i="87"/>
  <c r="E43" i="87"/>
  <c r="D43" i="87"/>
  <c r="C43" i="87"/>
  <c r="A37" i="87"/>
  <c r="E43" i="80"/>
  <c r="D43" i="80"/>
  <c r="C43" i="80"/>
  <c r="C20" i="68"/>
  <c r="M54" i="68"/>
  <c r="N23" i="68" s="1"/>
  <c r="M53" i="68"/>
  <c r="M23" i="68" s="1"/>
  <c r="M52" i="68"/>
  <c r="L23" i="68" s="1"/>
  <c r="M51" i="68"/>
  <c r="K23" i="68" s="1"/>
  <c r="M50" i="68"/>
  <c r="J23" i="68" s="1"/>
  <c r="S15" i="1"/>
  <c r="R15" i="1"/>
  <c r="F23" i="68"/>
  <c r="Q15" i="1" s="1"/>
  <c r="E23" i="68"/>
  <c r="P15" i="1" s="1"/>
  <c r="D23" i="68"/>
  <c r="O15" i="1" s="1"/>
  <c r="C23" i="68"/>
  <c r="N15" i="1" s="1"/>
  <c r="N20" i="78"/>
  <c r="C46" i="78"/>
  <c r="D46" i="78" s="1"/>
  <c r="E46" i="78" s="1"/>
  <c r="F46" i="78" s="1"/>
  <c r="G46" i="78" s="1"/>
  <c r="H46" i="78" s="1"/>
  <c r="I46" i="78" s="1"/>
  <c r="J46" i="78" s="1"/>
  <c r="K46" i="78" s="1"/>
  <c r="L46" i="78" s="1"/>
  <c r="M46" i="78" s="1"/>
  <c r="N46" i="78" s="1"/>
  <c r="C35" i="74"/>
  <c r="N20" i="69"/>
  <c r="M20" i="69"/>
  <c r="L20" i="69"/>
  <c r="K20" i="69"/>
  <c r="J20" i="69"/>
  <c r="I20" i="69"/>
  <c r="H20" i="69"/>
  <c r="G20" i="69"/>
  <c r="F20" i="69"/>
  <c r="E20" i="69"/>
  <c r="D20" i="69"/>
  <c r="C20" i="69"/>
  <c r="O14" i="1"/>
  <c r="P14" i="1"/>
  <c r="Q14" i="1"/>
  <c r="R14" i="1"/>
  <c r="S14" i="1"/>
  <c r="T14" i="1"/>
  <c r="N14" i="1"/>
  <c r="C40" i="74"/>
  <c r="D43" i="83"/>
  <c r="D44" i="83"/>
  <c r="O27" i="1" s="1"/>
  <c r="E43" i="83"/>
  <c r="E44" i="83" s="1"/>
  <c r="F43" i="83"/>
  <c r="F44" i="83"/>
  <c r="G43" i="83"/>
  <c r="G44" i="83"/>
  <c r="R27" i="1" s="1"/>
  <c r="H43" i="83"/>
  <c r="H44" i="83" s="1"/>
  <c r="I43" i="83"/>
  <c r="I44" i="83" s="1"/>
  <c r="J43" i="83"/>
  <c r="J44" i="83"/>
  <c r="K43" i="83"/>
  <c r="K44" i="83"/>
  <c r="K20" i="83" s="1"/>
  <c r="A34" i="83" s="1"/>
  <c r="L43" i="83"/>
  <c r="L44" i="83" s="1"/>
  <c r="L20" i="83" s="1"/>
  <c r="A35" i="83" s="1"/>
  <c r="M43" i="83"/>
  <c r="M44" i="83"/>
  <c r="N43" i="83"/>
  <c r="N44" i="83"/>
  <c r="N20" i="83" s="1"/>
  <c r="A37" i="83" s="1"/>
  <c r="C43" i="83"/>
  <c r="C44" i="83"/>
  <c r="N27" i="1" s="1"/>
  <c r="D46" i="80"/>
  <c r="E46" i="80"/>
  <c r="F46" i="80"/>
  <c r="G46" i="80"/>
  <c r="H46" i="80"/>
  <c r="I46" i="80"/>
  <c r="J46" i="80"/>
  <c r="K46" i="80"/>
  <c r="M46" i="80"/>
  <c r="N46" i="80"/>
  <c r="XEZ12" i="80"/>
  <c r="XEZ13" i="80"/>
  <c r="XEZ14" i="80"/>
  <c r="XFA14" i="80" s="1"/>
  <c r="XEZ15" i="80"/>
  <c r="XFA15" i="80" s="1"/>
  <c r="XEZ16" i="80"/>
  <c r="XFA16" i="80" s="1"/>
  <c r="XEZ17" i="80"/>
  <c r="XEZ18" i="80"/>
  <c r="XEZ19" i="80"/>
  <c r="XEZ20" i="80"/>
  <c r="XEZ21" i="80"/>
  <c r="XEZ22" i="80"/>
  <c r="XEZ23" i="80"/>
  <c r="XEZ24" i="80"/>
  <c r="XEZ25" i="80"/>
  <c r="XEZ26" i="80"/>
  <c r="XEZ27" i="80"/>
  <c r="XEZ28" i="80"/>
  <c r="XEZ29" i="80"/>
  <c r="XEZ30" i="80"/>
  <c r="XEZ31" i="80"/>
  <c r="XEZ32" i="80"/>
  <c r="XEZ33" i="80"/>
  <c r="XEZ34" i="80"/>
  <c r="XEZ35" i="80"/>
  <c r="XEZ36" i="80"/>
  <c r="XEZ37" i="80"/>
  <c r="XEZ38" i="80"/>
  <c r="XEZ39" i="80"/>
  <c r="XEZ40" i="80"/>
  <c r="XEZ11" i="80"/>
  <c r="XFA11" i="80" s="1"/>
  <c r="XFA12" i="80" s="1"/>
  <c r="XFA13" i="80" s="1"/>
  <c r="C45" i="80"/>
  <c r="K42" i="80"/>
  <c r="M20" i="83"/>
  <c r="A36" i="83" s="1"/>
  <c r="K40" i="82"/>
  <c r="L40" i="82"/>
  <c r="J20" i="83"/>
  <c r="A33" i="83" s="1"/>
  <c r="F20" i="83"/>
  <c r="A29" i="83" s="1"/>
  <c r="Q27" i="1"/>
  <c r="M40" i="82"/>
  <c r="J40" i="82"/>
  <c r="N40" i="82"/>
  <c r="N44" i="79"/>
  <c r="M44" i="79"/>
  <c r="K44" i="79"/>
  <c r="J44" i="79"/>
  <c r="I44" i="79"/>
  <c r="H44" i="79"/>
  <c r="G44" i="79"/>
  <c r="F44" i="79"/>
  <c r="E44" i="79"/>
  <c r="D44" i="79"/>
  <c r="C44" i="79"/>
  <c r="C46" i="79"/>
  <c r="C45" i="79" s="1"/>
  <c r="N21" i="78"/>
  <c r="C47" i="78"/>
  <c r="D47" i="78" s="1"/>
  <c r="E47" i="78" s="1"/>
  <c r="F47" i="78" s="1"/>
  <c r="G47" i="78" s="1"/>
  <c r="H47" i="78" s="1"/>
  <c r="I47" i="78" s="1"/>
  <c r="J47" i="78" s="1"/>
  <c r="K47" i="78" s="1"/>
  <c r="L47" i="78" s="1"/>
  <c r="M47" i="78" s="1"/>
  <c r="N47" i="78" s="1"/>
  <c r="N43" i="78"/>
  <c r="F40" i="74"/>
  <c r="E40" i="74"/>
  <c r="D40" i="74"/>
  <c r="S10" i="1"/>
  <c r="AE10" i="1" s="1"/>
  <c r="G6" i="84" s="1"/>
  <c r="C36" i="74"/>
  <c r="C39" i="74" s="1"/>
  <c r="P10" i="1" s="1"/>
  <c r="AB10" i="1" s="1"/>
  <c r="F36" i="74"/>
  <c r="D39" i="74" s="1"/>
  <c r="L36" i="74"/>
  <c r="F39" i="74" s="1"/>
  <c r="N35" i="74"/>
  <c r="D35" i="74"/>
  <c r="E35" i="74"/>
  <c r="F35" i="74"/>
  <c r="G35" i="74"/>
  <c r="H35" i="74"/>
  <c r="M35" i="74"/>
  <c r="Q8" i="1"/>
  <c r="R8" i="1"/>
  <c r="T8" i="1"/>
  <c r="G51" i="64"/>
  <c r="G52" i="64"/>
  <c r="G53" i="64"/>
  <c r="G54" i="64"/>
  <c r="G55" i="64"/>
  <c r="G56" i="64"/>
  <c r="G57" i="64"/>
  <c r="G58" i="64"/>
  <c r="G59" i="64"/>
  <c r="G60" i="64"/>
  <c r="G61" i="64"/>
  <c r="G62" i="64"/>
  <c r="G63" i="64"/>
  <c r="G64" i="64"/>
  <c r="G65" i="64"/>
  <c r="G66" i="64"/>
  <c r="G67" i="64"/>
  <c r="G68" i="64"/>
  <c r="G69" i="64"/>
  <c r="F69" i="64" s="1"/>
  <c r="G49" i="64"/>
  <c r="G50" i="64"/>
  <c r="G48" i="64"/>
  <c r="S8" i="1"/>
  <c r="O8" i="1"/>
  <c r="P8" i="1"/>
  <c r="C21" i="63"/>
  <c r="N7" i="1" s="1"/>
  <c r="N8" i="1"/>
  <c r="C22" i="64"/>
  <c r="D22" i="63"/>
  <c r="E22" i="63"/>
  <c r="F22" i="63"/>
  <c r="G22" i="63"/>
  <c r="H22" i="63"/>
  <c r="I22" i="63"/>
  <c r="J22" i="63"/>
  <c r="K22" i="63"/>
  <c r="L22" i="63"/>
  <c r="M22" i="63"/>
  <c r="N22" i="63"/>
  <c r="E21" i="63"/>
  <c r="P7" i="1" s="1"/>
  <c r="F21" i="63"/>
  <c r="Q7" i="1" s="1"/>
  <c r="K21" i="63"/>
  <c r="M21" i="63"/>
  <c r="N21" i="63"/>
  <c r="Q44" i="63"/>
  <c r="T6" i="1"/>
  <c r="W30" i="1"/>
  <c r="U30" i="1"/>
  <c r="T3" i="1"/>
  <c r="S3" i="1"/>
  <c r="R3" i="1"/>
  <c r="Q3" i="1"/>
  <c r="P3" i="1"/>
  <c r="O3" i="1"/>
  <c r="N21" i="71"/>
  <c r="M21" i="71"/>
  <c r="N20" i="71"/>
  <c r="M20" i="71"/>
  <c r="G53" i="71"/>
  <c r="M23" i="71" s="1"/>
  <c r="M24" i="71" s="1"/>
  <c r="G54" i="71"/>
  <c r="N23" i="71" s="1"/>
  <c r="N21" i="70"/>
  <c r="M21" i="70"/>
  <c r="N20" i="70"/>
  <c r="M20" i="70"/>
  <c r="G53" i="70"/>
  <c r="M23" i="70" s="1"/>
  <c r="M24" i="70" s="1"/>
  <c r="G54" i="70"/>
  <c r="N23" i="70" s="1"/>
  <c r="N24" i="70" s="1"/>
  <c r="G52" i="70"/>
  <c r="D21" i="63"/>
  <c r="O7" i="1"/>
  <c r="Q45" i="63"/>
  <c r="Q46" i="63" s="1"/>
  <c r="Q47" i="63" s="1"/>
  <c r="Q48" i="63" s="1"/>
  <c r="G21" i="63"/>
  <c r="R7" i="1" s="1"/>
  <c r="S7" i="1"/>
  <c r="R11" i="73"/>
  <c r="R12" i="73" s="1"/>
  <c r="R13" i="73" s="1"/>
  <c r="R14" i="73" s="1"/>
  <c r="R15" i="73" s="1"/>
  <c r="R16" i="73" s="1"/>
  <c r="R17" i="73" s="1"/>
  <c r="R18" i="73" s="1"/>
  <c r="N20" i="73"/>
  <c r="M20" i="73"/>
  <c r="L20" i="73"/>
  <c r="K20" i="73"/>
  <c r="J20" i="73"/>
  <c r="I20" i="73"/>
  <c r="T17" i="1" s="1"/>
  <c r="H20" i="73"/>
  <c r="G20" i="73"/>
  <c r="R17" i="1"/>
  <c r="F20" i="73"/>
  <c r="Q17" i="1"/>
  <c r="E20" i="73"/>
  <c r="P17" i="1" s="1"/>
  <c r="D20" i="73"/>
  <c r="O17" i="1" s="1"/>
  <c r="C20" i="73"/>
  <c r="N17" i="1"/>
  <c r="C14" i="73"/>
  <c r="C9" i="73"/>
  <c r="S17" i="1"/>
  <c r="C43" i="77"/>
  <c r="L22" i="74"/>
  <c r="I43" i="77"/>
  <c r="F43" i="77"/>
  <c r="N42" i="77"/>
  <c r="N20" i="77" s="1"/>
  <c r="M42" i="77"/>
  <c r="M20" i="77" s="1"/>
  <c r="L42" i="77"/>
  <c r="L20" i="77" s="1"/>
  <c r="K42" i="77"/>
  <c r="K20" i="77" s="1"/>
  <c r="J42" i="77"/>
  <c r="J20" i="77" s="1"/>
  <c r="I42" i="77"/>
  <c r="I20" i="77" s="1"/>
  <c r="T12" i="1" s="1"/>
  <c r="H42" i="77"/>
  <c r="H20" i="77" s="1"/>
  <c r="S12" i="1" s="1"/>
  <c r="G42" i="77"/>
  <c r="G20" i="77" s="1"/>
  <c r="R12" i="1" s="1"/>
  <c r="F42" i="77"/>
  <c r="F20" i="77" s="1"/>
  <c r="Q12" i="1" s="1"/>
  <c r="E42" i="77"/>
  <c r="E20" i="77" s="1"/>
  <c r="P12" i="1" s="1"/>
  <c r="D42" i="77"/>
  <c r="D20" i="77" s="1"/>
  <c r="O12" i="1" s="1"/>
  <c r="C42" i="77"/>
  <c r="C20" i="77" s="1"/>
  <c r="N12" i="1" s="1"/>
  <c r="L23" i="74"/>
  <c r="S6" i="1"/>
  <c r="R6" i="1"/>
  <c r="N42" i="83"/>
  <c r="M42" i="83"/>
  <c r="L42" i="83"/>
  <c r="K42" i="83"/>
  <c r="J42" i="83"/>
  <c r="I42" i="83"/>
  <c r="H42" i="83"/>
  <c r="G42" i="83"/>
  <c r="F42" i="83"/>
  <c r="E42" i="83"/>
  <c r="D42" i="83"/>
  <c r="C42" i="83"/>
  <c r="N46" i="81"/>
  <c r="M46" i="81"/>
  <c r="L46" i="81"/>
  <c r="K46" i="81"/>
  <c r="J46" i="81"/>
  <c r="I46" i="81"/>
  <c r="H46" i="81"/>
  <c r="G46" i="81"/>
  <c r="F46" i="81"/>
  <c r="E46" i="81"/>
  <c r="D46" i="81"/>
  <c r="C46" i="81"/>
  <c r="N45" i="81"/>
  <c r="M45" i="81"/>
  <c r="L45" i="81"/>
  <c r="K45" i="81"/>
  <c r="J45" i="81"/>
  <c r="I45" i="81"/>
  <c r="H45" i="81"/>
  <c r="G45" i="81"/>
  <c r="F45" i="81"/>
  <c r="E45" i="81"/>
  <c r="D45" i="81"/>
  <c r="C45" i="81"/>
  <c r="N43" i="81"/>
  <c r="N44" i="81"/>
  <c r="M43" i="81"/>
  <c r="M44" i="81" s="1"/>
  <c r="L43" i="81"/>
  <c r="L44" i="81" s="1"/>
  <c r="K43" i="81"/>
  <c r="K44" i="81"/>
  <c r="J43" i="81"/>
  <c r="J44" i="81"/>
  <c r="I20" i="81"/>
  <c r="H20" i="81"/>
  <c r="G20" i="81"/>
  <c r="F43" i="81"/>
  <c r="F44" i="81" s="1"/>
  <c r="F20" i="81" s="1"/>
  <c r="E43" i="81"/>
  <c r="E44" i="81" s="1"/>
  <c r="E20" i="81" s="1"/>
  <c r="N41" i="81"/>
  <c r="N39" i="81"/>
  <c r="M41" i="81"/>
  <c r="M39" i="81" s="1"/>
  <c r="L41" i="81"/>
  <c r="L39" i="81" s="1"/>
  <c r="K41" i="81"/>
  <c r="K39" i="81" s="1"/>
  <c r="I41" i="81"/>
  <c r="I39" i="81" s="1"/>
  <c r="H39" i="81"/>
  <c r="G39" i="81"/>
  <c r="A37" i="81"/>
  <c r="L45" i="80"/>
  <c r="K43" i="80"/>
  <c r="H43" i="80"/>
  <c r="D45" i="80"/>
  <c r="P40" i="80"/>
  <c r="P34" i="80"/>
  <c r="P35" i="80"/>
  <c r="P36" i="80"/>
  <c r="P42" i="80" s="1"/>
  <c r="N48" i="79"/>
  <c r="M48" i="79"/>
  <c r="L48" i="79"/>
  <c r="K48" i="79"/>
  <c r="J48" i="79"/>
  <c r="I48" i="79"/>
  <c r="H48" i="79"/>
  <c r="G48" i="79"/>
  <c r="F48" i="79"/>
  <c r="E48" i="79"/>
  <c r="D48" i="79"/>
  <c r="C48" i="79"/>
  <c r="N47" i="79"/>
  <c r="M47" i="79"/>
  <c r="L47" i="79"/>
  <c r="K47" i="79"/>
  <c r="J47" i="79"/>
  <c r="I47" i="79"/>
  <c r="H47" i="79"/>
  <c r="G47" i="79"/>
  <c r="F47" i="79"/>
  <c r="E47" i="79"/>
  <c r="D47" i="79"/>
  <c r="C47" i="79"/>
  <c r="N45" i="79"/>
  <c r="K45" i="79"/>
  <c r="E46" i="79"/>
  <c r="E45" i="79" s="1"/>
  <c r="E20" i="79" s="1"/>
  <c r="P23" i="1" s="1"/>
  <c r="D46" i="79"/>
  <c r="D45" i="79" s="1"/>
  <c r="D20" i="79" s="1"/>
  <c r="O23" i="1" s="1"/>
  <c r="N43" i="79"/>
  <c r="M43" i="79"/>
  <c r="L43" i="79"/>
  <c r="K43" i="79"/>
  <c r="J43" i="79"/>
  <c r="I43" i="79"/>
  <c r="H43" i="79"/>
  <c r="G43" i="79"/>
  <c r="F43" i="79"/>
  <c r="E43" i="79"/>
  <c r="D43" i="79"/>
  <c r="C43" i="79"/>
  <c r="A36" i="79"/>
  <c r="A35" i="79"/>
  <c r="A34" i="79"/>
  <c r="A33" i="79"/>
  <c r="A32" i="79"/>
  <c r="A31" i="79"/>
  <c r="A30" i="79"/>
  <c r="A29" i="79"/>
  <c r="A28" i="79"/>
  <c r="A27" i="79"/>
  <c r="A26" i="79"/>
  <c r="A25" i="79"/>
  <c r="M43" i="78"/>
  <c r="L43" i="78"/>
  <c r="K43" i="78"/>
  <c r="J43" i="78"/>
  <c r="I43" i="78"/>
  <c r="H43" i="78"/>
  <c r="G43" i="78"/>
  <c r="F43" i="78"/>
  <c r="E43" i="78"/>
  <c r="D43" i="78"/>
  <c r="C43" i="78"/>
  <c r="A36" i="77"/>
  <c r="A35" i="77"/>
  <c r="A34" i="77"/>
  <c r="A33" i="77"/>
  <c r="A32" i="77"/>
  <c r="A31" i="77"/>
  <c r="A30" i="77"/>
  <c r="A29" i="77"/>
  <c r="A28" i="77"/>
  <c r="A27" i="77"/>
  <c r="A26" i="77"/>
  <c r="C19" i="77"/>
  <c r="A25" i="77" s="1"/>
  <c r="A27" i="75"/>
  <c r="A26" i="75"/>
  <c r="A25" i="75"/>
  <c r="A24" i="75"/>
  <c r="A36" i="73"/>
  <c r="A35" i="73"/>
  <c r="A34" i="73"/>
  <c r="A33" i="73"/>
  <c r="A32" i="73"/>
  <c r="A31" i="73"/>
  <c r="A30" i="73"/>
  <c r="A29" i="73"/>
  <c r="A28" i="73"/>
  <c r="A27" i="73"/>
  <c r="A26" i="73"/>
  <c r="A25" i="73"/>
  <c r="E43" i="72"/>
  <c r="E42" i="72"/>
  <c r="E41" i="72"/>
  <c r="E40" i="72"/>
  <c r="A35" i="72"/>
  <c r="A34" i="72"/>
  <c r="A33" i="72"/>
  <c r="A32" i="72"/>
  <c r="A31" i="72"/>
  <c r="A30" i="72"/>
  <c r="A29" i="72"/>
  <c r="A28" i="72"/>
  <c r="A27" i="72"/>
  <c r="A26" i="72"/>
  <c r="A25" i="72"/>
  <c r="A24" i="72"/>
  <c r="L20" i="71"/>
  <c r="G52" i="71"/>
  <c r="L23" i="71"/>
  <c r="L24" i="71" s="1"/>
  <c r="G51" i="71"/>
  <c r="K23" i="71" s="1"/>
  <c r="K24" i="71" s="1"/>
  <c r="G50" i="71"/>
  <c r="J23" i="71" s="1"/>
  <c r="J24" i="71" s="1"/>
  <c r="G48" i="71"/>
  <c r="H23" i="71" s="1"/>
  <c r="H24" i="71" s="1"/>
  <c r="G47" i="71"/>
  <c r="G23" i="71" s="1"/>
  <c r="G24" i="71" s="1"/>
  <c r="G46" i="71"/>
  <c r="F23" i="71" s="1"/>
  <c r="F21" i="71"/>
  <c r="E20" i="71"/>
  <c r="E21" i="71"/>
  <c r="D20" i="71"/>
  <c r="C20" i="71"/>
  <c r="G43" i="71"/>
  <c r="C23" i="71"/>
  <c r="C24" i="71" s="1"/>
  <c r="K21" i="71"/>
  <c r="J21" i="71"/>
  <c r="I21" i="71"/>
  <c r="D21" i="71"/>
  <c r="C21" i="71"/>
  <c r="K20" i="71"/>
  <c r="H20" i="71"/>
  <c r="G20" i="71"/>
  <c r="F20" i="71"/>
  <c r="L23" i="70"/>
  <c r="K20" i="70"/>
  <c r="K21" i="70"/>
  <c r="J23" i="70"/>
  <c r="J24" i="70" s="1"/>
  <c r="I20" i="70"/>
  <c r="H20" i="70"/>
  <c r="H21" i="70"/>
  <c r="F20" i="70"/>
  <c r="E20" i="70"/>
  <c r="D20" i="70"/>
  <c r="G44" i="70"/>
  <c r="D23" i="70" s="1"/>
  <c r="C21" i="70"/>
  <c r="J21" i="70"/>
  <c r="G21" i="70"/>
  <c r="F21" i="70"/>
  <c r="E21" i="70"/>
  <c r="L20" i="70"/>
  <c r="J20" i="70"/>
  <c r="C20" i="70"/>
  <c r="A40" i="68"/>
  <c r="A39" i="68"/>
  <c r="A38" i="68"/>
  <c r="A37" i="68"/>
  <c r="A36" i="68"/>
  <c r="A35" i="68"/>
  <c r="A34" i="68"/>
  <c r="A33" i="68"/>
  <c r="A32" i="68"/>
  <c r="A31" i="68"/>
  <c r="A30" i="68"/>
  <c r="A29" i="68"/>
  <c r="E21" i="68"/>
  <c r="D21" i="68"/>
  <c r="C21" i="68"/>
  <c r="N20" i="68"/>
  <c r="M20" i="68"/>
  <c r="L20" i="68"/>
  <c r="K20" i="68"/>
  <c r="J20" i="68"/>
  <c r="H20" i="68"/>
  <c r="G20" i="68"/>
  <c r="F20" i="68"/>
  <c r="E20" i="68"/>
  <c r="D20" i="68"/>
  <c r="D20" i="76"/>
  <c r="O20" i="1" s="1"/>
  <c r="J39" i="82"/>
  <c r="N39" i="82"/>
  <c r="K39" i="82"/>
  <c r="L39" i="82"/>
  <c r="M39" i="82"/>
  <c r="I20" i="75"/>
  <c r="N19" i="1"/>
  <c r="L24" i="70"/>
  <c r="N20" i="79"/>
  <c r="K20" i="79"/>
  <c r="G45" i="70"/>
  <c r="E23" i="70" s="1"/>
  <c r="E24" i="70" s="1"/>
  <c r="J43" i="80"/>
  <c r="L21" i="70"/>
  <c r="G46" i="70"/>
  <c r="F23" i="70" s="1"/>
  <c r="G44" i="71"/>
  <c r="D23" i="71" s="1"/>
  <c r="L43" i="80"/>
  <c r="D21" i="70"/>
  <c r="G47" i="70"/>
  <c r="G23" i="70" s="1"/>
  <c r="H21" i="71"/>
  <c r="G45" i="71"/>
  <c r="E23" i="71" s="1"/>
  <c r="H45" i="80"/>
  <c r="J39" i="81"/>
  <c r="M45" i="80"/>
  <c r="G49" i="71"/>
  <c r="I23" i="71" s="1"/>
  <c r="E20" i="76"/>
  <c r="P20" i="1" s="1"/>
  <c r="M43" i="80"/>
  <c r="N43" i="80"/>
  <c r="J45" i="80"/>
  <c r="K45" i="80"/>
  <c r="N45" i="80"/>
  <c r="I20" i="71"/>
  <c r="J20" i="71"/>
  <c r="L21" i="71"/>
  <c r="G21" i="71"/>
  <c r="G48" i="70"/>
  <c r="H23" i="70" s="1"/>
  <c r="G43" i="70"/>
  <c r="C23" i="70"/>
  <c r="N18" i="1" s="1"/>
  <c r="G51" i="70"/>
  <c r="K23" i="70" s="1"/>
  <c r="K24" i="70" s="1"/>
  <c r="T9" i="1"/>
  <c r="V30" i="1"/>
  <c r="S9" i="1"/>
  <c r="O9" i="1"/>
  <c r="Q9" i="1"/>
  <c r="P9" i="1"/>
  <c r="R9" i="1"/>
  <c r="A36" i="40"/>
  <c r="A35" i="40"/>
  <c r="A34" i="40"/>
  <c r="A33" i="40"/>
  <c r="A32" i="40"/>
  <c r="A31" i="40"/>
  <c r="A30" i="40"/>
  <c r="A29" i="40"/>
  <c r="A28" i="40"/>
  <c r="A27" i="40"/>
  <c r="A26" i="40"/>
  <c r="A25" i="40"/>
  <c r="H48" i="60" l="1"/>
  <c r="K20" i="76"/>
  <c r="J20" i="76"/>
  <c r="I20" i="76"/>
  <c r="T20" i="1" s="1"/>
  <c r="F68" i="64"/>
  <c r="XFA22" i="80"/>
  <c r="XFA23" i="80" s="1"/>
  <c r="XFA24" i="80" s="1"/>
  <c r="XFA25" i="80" s="1"/>
  <c r="XFA26" i="80" s="1"/>
  <c r="XFA27" i="80" s="1"/>
  <c r="XFA28" i="80" s="1"/>
  <c r="XFA29" i="80" s="1"/>
  <c r="XFA30" i="80" s="1"/>
  <c r="XFA31" i="80" s="1"/>
  <c r="XFA32" i="80" s="1"/>
  <c r="XFA33" i="80" s="1"/>
  <c r="XFA34" i="80" s="1"/>
  <c r="XFA35" i="80" s="1"/>
  <c r="XFA36" i="80" s="1"/>
  <c r="XFA37" i="80" s="1"/>
  <c r="XFA38" i="80" s="1"/>
  <c r="XFA39" i="80" s="1"/>
  <c r="XFA40" i="80" s="1"/>
  <c r="I20" i="83"/>
  <c r="A32" i="83" s="1"/>
  <c r="T27" i="1"/>
  <c r="I65" i="89"/>
  <c r="H66" i="89"/>
  <c r="F20" i="89" s="1"/>
  <c r="F67" i="64"/>
  <c r="F66" i="64" s="1"/>
  <c r="F65" i="64" s="1"/>
  <c r="F64" i="64" s="1"/>
  <c r="F63" i="64" s="1"/>
  <c r="F62" i="64" s="1"/>
  <c r="F61" i="64" s="1"/>
  <c r="F60" i="64" s="1"/>
  <c r="F59" i="64" s="1"/>
  <c r="F58" i="64" s="1"/>
  <c r="F57" i="64" s="1"/>
  <c r="F56" i="64" s="1"/>
  <c r="F55" i="64" s="1"/>
  <c r="F54" i="64" s="1"/>
  <c r="F53" i="64" s="1"/>
  <c r="F52" i="64" s="1"/>
  <c r="F51" i="64" s="1"/>
  <c r="F50" i="64" s="1"/>
  <c r="F49" i="64" s="1"/>
  <c r="F48" i="64" s="1"/>
  <c r="H20" i="83"/>
  <c r="A31" i="83" s="1"/>
  <c r="S27" i="1"/>
  <c r="D24" i="71"/>
  <c r="O19" i="1"/>
  <c r="E20" i="90"/>
  <c r="D20" i="90"/>
  <c r="G20" i="90"/>
  <c r="K20" i="90"/>
  <c r="I20" i="90"/>
  <c r="C20" i="90"/>
  <c r="H20" i="90"/>
  <c r="F20" i="90"/>
  <c r="J20" i="90"/>
  <c r="C39" i="90"/>
  <c r="D39" i="90" s="1"/>
  <c r="E39" i="90" s="1"/>
  <c r="F39" i="90" s="1"/>
  <c r="G39" i="90" s="1"/>
  <c r="H39" i="90" s="1"/>
  <c r="I39" i="90" s="1"/>
  <c r="J39" i="90" s="1"/>
  <c r="K39" i="90" s="1"/>
  <c r="L39" i="90" s="1"/>
  <c r="M39" i="90" s="1"/>
  <c r="N39" i="90" s="1"/>
  <c r="P27" i="1"/>
  <c r="E20" i="83"/>
  <c r="A28" i="83" s="1"/>
  <c r="Q49" i="63"/>
  <c r="Q50" i="63" s="1"/>
  <c r="Q51" i="63" s="1"/>
  <c r="Q52" i="63" s="1"/>
  <c r="Q53" i="63" s="1"/>
  <c r="Q54" i="63" s="1"/>
  <c r="Q55" i="63" s="1"/>
  <c r="Q56" i="63" s="1"/>
  <c r="Q57" i="63" s="1"/>
  <c r="Q58" i="63" s="1"/>
  <c r="Q59" i="63" s="1"/>
  <c r="Q60" i="63" s="1"/>
  <c r="Q61" i="63" s="1"/>
  <c r="Q62" i="63" s="1"/>
  <c r="Q63" i="63" s="1"/>
  <c r="C44" i="63"/>
  <c r="C22" i="63" s="1"/>
  <c r="XFA17" i="80"/>
  <c r="XFA18" i="80" s="1"/>
  <c r="XFA19" i="80" s="1"/>
  <c r="XFA20" i="80" s="1"/>
  <c r="XFA21" i="80" s="1"/>
  <c r="R42" i="61"/>
  <c r="R43" i="61" s="1"/>
  <c r="R44" i="61" s="1"/>
  <c r="R45" i="61" s="1"/>
  <c r="R46" i="61" s="1"/>
  <c r="R47" i="61" s="1"/>
  <c r="R48" i="61" s="1"/>
  <c r="R49" i="61" s="1"/>
  <c r="R50" i="61" s="1"/>
  <c r="R51" i="61" s="1"/>
  <c r="R52" i="61" s="1"/>
  <c r="R53" i="61" s="1"/>
  <c r="R54" i="61" s="1"/>
  <c r="R55" i="61" s="1"/>
  <c r="R56" i="61" s="1"/>
  <c r="R57" i="61" s="1"/>
  <c r="R58" i="61" s="1"/>
  <c r="R59" i="61" s="1"/>
  <c r="R60" i="61" s="1"/>
  <c r="C45" i="61" s="1"/>
  <c r="N41" i="82"/>
  <c r="N20" i="82" s="1"/>
  <c r="P45" i="80"/>
  <c r="M41" i="82"/>
  <c r="M42" i="82" s="1"/>
  <c r="G20" i="83"/>
  <c r="A30" i="83" s="1"/>
  <c r="G21" i="90"/>
  <c r="K21" i="90"/>
  <c r="D47" i="80"/>
  <c r="D20" i="80" s="1"/>
  <c r="C24" i="70"/>
  <c r="D20" i="83"/>
  <c r="A27" i="83" s="1"/>
  <c r="L20" i="60"/>
  <c r="G66" i="89"/>
  <c r="E20" i="89" s="1"/>
  <c r="E20" i="60"/>
  <c r="P4" i="1" s="1"/>
  <c r="H51" i="60"/>
  <c r="C20" i="83"/>
  <c r="A26" i="83" s="1"/>
  <c r="C44" i="76"/>
  <c r="L20" i="76"/>
  <c r="I20" i="80"/>
  <c r="T24" i="1" s="1"/>
  <c r="I40" i="82"/>
  <c r="P13" i="87"/>
  <c r="Q13" i="87" s="1"/>
  <c r="Q10" i="87"/>
  <c r="Z7" i="1"/>
  <c r="AC7" i="1"/>
  <c r="AE11" i="1"/>
  <c r="G7" i="84" s="1"/>
  <c r="AB7" i="1"/>
  <c r="AA7" i="1"/>
  <c r="AL10" i="1"/>
  <c r="M36" i="1" s="1"/>
  <c r="D6" i="84"/>
  <c r="Z14" i="1"/>
  <c r="AB11" i="1"/>
  <c r="D7" i="84" s="1"/>
  <c r="H47" i="60"/>
  <c r="J41" i="82"/>
  <c r="J20" i="82" s="1"/>
  <c r="J42" i="82"/>
  <c r="L41" i="82"/>
  <c r="L42" i="82" s="1"/>
  <c r="K41" i="82"/>
  <c r="K20" i="82" s="1"/>
  <c r="M20" i="82"/>
  <c r="AF7" i="1"/>
  <c r="H5" i="84" s="1"/>
  <c r="AE7" i="1"/>
  <c r="G5" i="84" s="1"/>
  <c r="AD7" i="1"/>
  <c r="F5" i="84" s="1"/>
  <c r="H44" i="60"/>
  <c r="H46" i="60"/>
  <c r="H45" i="60"/>
  <c r="AE3" i="1"/>
  <c r="G4" i="84" s="1"/>
  <c r="AL11" i="1"/>
  <c r="M37" i="1" s="1"/>
  <c r="AD3" i="1"/>
  <c r="F4" i="84" s="1"/>
  <c r="X30" i="1"/>
  <c r="C5" i="84"/>
  <c r="AF3" i="1"/>
  <c r="H4" i="84" s="1"/>
  <c r="Y30" i="1"/>
  <c r="B5" i="84"/>
  <c r="E5" i="84"/>
  <c r="A7" i="84"/>
  <c r="B9" i="84"/>
  <c r="T25" i="1"/>
  <c r="I39" i="82"/>
  <c r="I41" i="82" s="1"/>
  <c r="I42" i="82" s="1"/>
  <c r="T26" i="1" s="1"/>
  <c r="G40" i="82"/>
  <c r="R24" i="1"/>
  <c r="S24" i="1"/>
  <c r="H40" i="82"/>
  <c r="S25" i="1"/>
  <c r="H39" i="82"/>
  <c r="G39" i="82"/>
  <c r="G41" i="82" s="1"/>
  <c r="R25" i="1"/>
  <c r="S13" i="1"/>
  <c r="AE13" i="1" s="1"/>
  <c r="G8" i="84" s="1"/>
  <c r="E39" i="74"/>
  <c r="F22" i="74"/>
  <c r="F23" i="74" s="1"/>
  <c r="H44" i="76"/>
  <c r="G20" i="76"/>
  <c r="R20" i="1" s="1"/>
  <c r="AD20" i="1" s="1"/>
  <c r="F10" i="84" s="1"/>
  <c r="P19" i="1"/>
  <c r="E24" i="71"/>
  <c r="I24" i="71"/>
  <c r="T19" i="1"/>
  <c r="D24" i="70"/>
  <c r="O18" i="1"/>
  <c r="AA14" i="1" s="1"/>
  <c r="C9" i="84" s="1"/>
  <c r="P18" i="1"/>
  <c r="I24" i="70"/>
  <c r="T18" i="1"/>
  <c r="S19" i="1"/>
  <c r="H24" i="70"/>
  <c r="S18" i="1"/>
  <c r="R19" i="1"/>
  <c r="G24" i="70"/>
  <c r="R18" i="1"/>
  <c r="F24" i="70"/>
  <c r="Q18" i="1"/>
  <c r="F24" i="71"/>
  <c r="Q19" i="1"/>
  <c r="F20" i="60"/>
  <c r="Q4" i="1" s="1"/>
  <c r="F20" i="76"/>
  <c r="Q20" i="1" s="1"/>
  <c r="AC20" i="1" s="1"/>
  <c r="E10" i="84" s="1"/>
  <c r="M20" i="76"/>
  <c r="D8" i="84"/>
  <c r="C20" i="75"/>
  <c r="F43" i="80"/>
  <c r="AF20" i="1"/>
  <c r="H10" i="84" s="1"/>
  <c r="AE20" i="1"/>
  <c r="G10" i="84" s="1"/>
  <c r="AB20" i="1"/>
  <c r="D10" i="84" s="1"/>
  <c r="C20" i="88"/>
  <c r="N21" i="1" s="1"/>
  <c r="O44" i="88"/>
  <c r="O44" i="87"/>
  <c r="O22" i="1"/>
  <c r="AA20" i="1" s="1"/>
  <c r="C10" i="84" s="1"/>
  <c r="Q24" i="1"/>
  <c r="F40" i="82"/>
  <c r="E40" i="82"/>
  <c r="P24" i="1"/>
  <c r="N24" i="1"/>
  <c r="C40" i="82"/>
  <c r="Q25" i="1"/>
  <c r="F39" i="82"/>
  <c r="F41" i="82" s="1"/>
  <c r="P25" i="1"/>
  <c r="E39" i="82"/>
  <c r="E41" i="82" s="1"/>
  <c r="D39" i="82"/>
  <c r="O25" i="1"/>
  <c r="N25" i="1"/>
  <c r="C39" i="82"/>
  <c r="O45" i="79"/>
  <c r="C20" i="79"/>
  <c r="N23" i="1" s="1"/>
  <c r="C22" i="74"/>
  <c r="C23" i="74" s="1"/>
  <c r="C21" i="61" l="1"/>
  <c r="N6" i="1" s="1"/>
  <c r="Z3" i="1" s="1"/>
  <c r="D45" i="61"/>
  <c r="O24" i="1"/>
  <c r="C51" i="80"/>
  <c r="D40" i="82"/>
  <c r="D41" i="82" s="1"/>
  <c r="I66" i="89"/>
  <c r="G20" i="89" s="1"/>
  <c r="J65" i="89"/>
  <c r="L20" i="82"/>
  <c r="N42" i="82"/>
  <c r="M38" i="1"/>
  <c r="K42" i="82"/>
  <c r="T30" i="1"/>
  <c r="M35" i="1"/>
  <c r="AC14" i="1"/>
  <c r="E9" i="84" s="1"/>
  <c r="AF23" i="1"/>
  <c r="H11" i="84" s="1"/>
  <c r="AF14" i="1"/>
  <c r="H9" i="84" s="1"/>
  <c r="AB14" i="1"/>
  <c r="D9" i="84" s="1"/>
  <c r="H41" i="82"/>
  <c r="H42" i="82" s="1"/>
  <c r="S26" i="1" s="1"/>
  <c r="G20" i="82"/>
  <c r="G42" i="82"/>
  <c r="R26" i="1" s="1"/>
  <c r="AD14" i="1"/>
  <c r="F9" i="84" s="1"/>
  <c r="AE14" i="1"/>
  <c r="G9" i="84" s="1"/>
  <c r="N22" i="1"/>
  <c r="Z20" i="1" s="1"/>
  <c r="B10" i="84" s="1"/>
  <c r="C41" i="82"/>
  <c r="C20" i="82" s="1"/>
  <c r="F42" i="82"/>
  <c r="Q26" i="1" s="1"/>
  <c r="AC23" i="1" s="1"/>
  <c r="E11" i="84" s="1"/>
  <c r="F20" i="82"/>
  <c r="E42" i="82"/>
  <c r="P26" i="1" s="1"/>
  <c r="AB23" i="1" s="1"/>
  <c r="D11" i="84" s="1"/>
  <c r="E20" i="82"/>
  <c r="D5" i="84"/>
  <c r="B4" i="84" l="1"/>
  <c r="D42" i="82"/>
  <c r="O26" i="1" s="1"/>
  <c r="AA23" i="1" s="1"/>
  <c r="C11" i="84" s="1"/>
  <c r="D20" i="82"/>
  <c r="J66" i="89"/>
  <c r="H20" i="89" s="1"/>
  <c r="K65" i="89"/>
  <c r="E45" i="61"/>
  <c r="D21" i="61"/>
  <c r="O6" i="1" s="1"/>
  <c r="AA3" i="1" s="1"/>
  <c r="C4" i="84" s="1"/>
  <c r="H13" i="84"/>
  <c r="O30" i="1"/>
  <c r="M39" i="1"/>
  <c r="AD23" i="1"/>
  <c r="F11" i="84" s="1"/>
  <c r="F13" i="84" s="1"/>
  <c r="R30" i="1"/>
  <c r="AE23" i="1"/>
  <c r="G11" i="84" s="1"/>
  <c r="G13" i="84" s="1"/>
  <c r="S30" i="1"/>
  <c r="H20" i="82"/>
  <c r="AL20" i="1"/>
  <c r="M40" i="1" s="1"/>
  <c r="C42" i="82"/>
  <c r="O42" i="82"/>
  <c r="N26" i="1"/>
  <c r="E21" i="61" l="1"/>
  <c r="P6" i="1" s="1"/>
  <c r="F45" i="61"/>
  <c r="F21" i="61" s="1"/>
  <c r="Q6" i="1" s="1"/>
  <c r="L65" i="89"/>
  <c r="K66" i="89"/>
  <c r="I20" i="89" s="1"/>
  <c r="C13" i="84"/>
  <c r="Z23" i="1"/>
  <c r="B11" i="84" s="1"/>
  <c r="B13" i="84" s="1"/>
  <c r="N30" i="1"/>
  <c r="L66" i="89" l="1"/>
  <c r="J20" i="89" s="1"/>
  <c r="M65" i="89"/>
  <c r="AC3" i="1"/>
  <c r="E4" i="84" s="1"/>
  <c r="E13" i="84" s="1"/>
  <c r="Q30" i="1"/>
  <c r="AB3" i="1"/>
  <c r="P30" i="1"/>
  <c r="AL23" i="1"/>
  <c r="M41" i="1" s="1"/>
  <c r="AL3" i="1" l="1"/>
  <c r="M34" i="1" s="1"/>
  <c r="D4" i="84"/>
  <c r="D13" i="84" s="1"/>
  <c r="N16" i="84" s="1"/>
  <c r="M66" i="89"/>
  <c r="K20" i="89" s="1"/>
  <c r="N65" i="89"/>
  <c r="N66" i="89" l="1"/>
  <c r="L20" i="89" s="1"/>
  <c r="O65" i="89"/>
  <c r="P65" i="89" l="1"/>
  <c r="P66" i="89" s="1"/>
  <c r="N20" i="89" s="1"/>
  <c r="O66" i="89"/>
  <c r="M20" i="8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0CE61C69-B40E-4107-9C28-8E5BA9BA7785}">
      <text>
        <r>
          <rPr>
            <b/>
            <sz val="9"/>
            <color indexed="81"/>
            <rFont val="Tahoma"/>
            <family val="2"/>
          </rPr>
          <t>MONITOR:</t>
        </r>
        <r>
          <rPr>
            <sz val="9"/>
            <color indexed="81"/>
            <rFont val="Tahoma"/>
            <family val="2"/>
          </rPr>
          <t xml:space="preserve"> Tenga en cuenta que en cumplimiento lo mínimo es 0% y lo máximo es el 100% de la meta.
</t>
        </r>
      </text>
    </comment>
    <comment ref="B22" authorId="0" shapeId="0" xr:uid="{CFCDC40D-8976-4EA1-A4AE-E2BEA69EFFE6}">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4" authorId="0" shapeId="0" xr:uid="{556196F0-6683-4909-97E9-10E3C250C019}">
      <text>
        <r>
          <rPr>
            <b/>
            <sz val="9"/>
            <color indexed="81"/>
            <rFont val="Tahoma"/>
            <family val="2"/>
          </rPr>
          <t>MONITOR:</t>
        </r>
        <r>
          <rPr>
            <sz val="9"/>
            <color indexed="81"/>
            <rFont val="Tahoma"/>
            <family val="2"/>
          </rPr>
          <t xml:space="preserve"> Tenga en cuenta que en cumplimiento lo mínimo es 0% y lo máximo es el 100% de la meta.
</t>
        </r>
      </text>
    </comment>
    <comment ref="B25" authorId="0" shapeId="0" xr:uid="{2ABFC90B-2276-431D-82E7-D441A95498B4}">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0" authorId="0" shapeId="0" xr:uid="{9892C65E-7A3E-47DD-8040-191AA57E3BB0}">
      <text>
        <r>
          <rPr>
            <b/>
            <sz val="9"/>
            <color indexed="81"/>
            <rFont val="Tahoma"/>
            <family val="2"/>
          </rPr>
          <t>MONITOR:</t>
        </r>
        <r>
          <rPr>
            <sz val="9"/>
            <color indexed="81"/>
            <rFont val="Tahoma"/>
            <family val="2"/>
          </rPr>
          <t xml:space="preserve"> Tenga en cuenta que en cumplimiento lo mínimo es 0% y lo máximo es el 100% de la meta.
</t>
        </r>
      </text>
    </comment>
    <comment ref="B21" authorId="0" shapeId="0" xr:uid="{08B8DF61-F625-496D-9F02-3A9B3D5F9F11}">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4" authorId="0" shapeId="0" xr:uid="{B9760316-99D8-4599-95C3-41AFF069CAC2}">
      <text>
        <r>
          <rPr>
            <b/>
            <sz val="9"/>
            <color indexed="81"/>
            <rFont val="Tahoma"/>
            <family val="2"/>
          </rPr>
          <t>MONITOR:</t>
        </r>
        <r>
          <rPr>
            <sz val="9"/>
            <color indexed="81"/>
            <rFont val="Tahoma"/>
            <family val="2"/>
          </rPr>
          <t xml:space="preserve"> Tenga en cuenta que en cumplimiento lo mínimo es 0% y lo máximo es el 100% de la meta.
</t>
        </r>
      </text>
    </comment>
    <comment ref="B25" authorId="0" shapeId="0" xr:uid="{1AB47854-3287-495E-9A05-9E007E81F611}">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4" authorId="0" shapeId="0" xr:uid="{B395482B-3951-45F9-B9FD-A90ADAC07505}">
      <text>
        <r>
          <rPr>
            <b/>
            <sz val="9"/>
            <color indexed="81"/>
            <rFont val="Tahoma"/>
            <family val="2"/>
          </rPr>
          <t>MONITOR:</t>
        </r>
        <r>
          <rPr>
            <sz val="9"/>
            <color indexed="81"/>
            <rFont val="Tahoma"/>
            <family val="2"/>
          </rPr>
          <t xml:space="preserve"> Tenga en cuenta que en cumplimiento lo mínimo es 0% y lo máximo es el 100% de la meta.
</t>
        </r>
      </text>
    </comment>
    <comment ref="B25" authorId="0" shapeId="0" xr:uid="{825045BC-7949-4937-A3A4-EE170D6DAAA3}">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19" authorId="0" shapeId="0" xr:uid="{CEDF519F-33E5-47F9-BBDA-29B79A6713B4}">
      <text>
        <r>
          <rPr>
            <b/>
            <sz val="9"/>
            <color indexed="81"/>
            <rFont val="Tahoma"/>
            <family val="2"/>
          </rPr>
          <t>MONITOR:</t>
        </r>
        <r>
          <rPr>
            <sz val="9"/>
            <color indexed="81"/>
            <rFont val="Tahoma"/>
            <family val="2"/>
          </rPr>
          <t xml:space="preserve"> Tenga en cuenta que en cumplimiento lo mínimo es 0% y lo máximo es el 100% de la meta.
</t>
        </r>
      </text>
    </comment>
    <comment ref="B20" authorId="0" shapeId="0" xr:uid="{8DA115AB-C2B1-4BE4-B00F-6DB2164EE7FF}">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3" authorId="0" shapeId="0" xr:uid="{32FD7205-C9B5-4EB9-B0AC-2F160DA07867}">
      <text>
        <r>
          <rPr>
            <b/>
            <sz val="9"/>
            <color indexed="81"/>
            <rFont val="Tahoma"/>
            <family val="2"/>
          </rPr>
          <t>MONITOR:</t>
        </r>
        <r>
          <rPr>
            <sz val="9"/>
            <color indexed="81"/>
            <rFont val="Tahoma"/>
            <family val="2"/>
          </rPr>
          <t xml:space="preserve"> Tenga en cuenta que en cumplimiento lo mínimo es 0% y lo máximo es el 100% de la meta.
</t>
        </r>
      </text>
    </comment>
    <comment ref="B24" authorId="0" shapeId="0" xr:uid="{4F79C8A9-A317-4106-BCEE-E075A8CA4B12}">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2" authorId="0" shapeId="0" xr:uid="{05013EBB-58C4-4F23-AF49-85AEC871F801}">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7.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DAE0AAA3-4054-41F2-A548-AD1A9162F1C2}">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B61030DA-3BEE-4FBE-A2F8-C633A02ADE24}">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18.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3D669ED3-CF21-4DFC-8FA9-186263B548A7}">
      <text>
        <r>
          <rPr>
            <b/>
            <sz val="9"/>
            <color indexed="81"/>
            <rFont val="Tahoma"/>
            <family val="2"/>
          </rPr>
          <t>MONITOR:</t>
        </r>
        <r>
          <rPr>
            <sz val="9"/>
            <color indexed="81"/>
            <rFont val="Tahoma"/>
            <family val="2"/>
          </rPr>
          <t xml:space="preserve"> Tenga en cuenta que en cumplimiento lo mínimo es 0% y lo máximo es el 100% de la meta.
</t>
        </r>
      </text>
    </comment>
  </commentList>
</comments>
</file>

<file path=xl/comments19.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4A65240A-D445-47EA-963F-0731CFF662AF}">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64C466DA-5D76-4A51-A4D0-C0E6F3C1574C}">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E1DABF06-6530-4170-B342-8C09068769D1}">
      <text>
        <r>
          <rPr>
            <b/>
            <sz val="9"/>
            <color indexed="81"/>
            <rFont val="Tahoma"/>
            <family val="2"/>
          </rPr>
          <t>MONITOR:</t>
        </r>
        <r>
          <rPr>
            <sz val="9"/>
            <color indexed="81"/>
            <rFont val="Tahoma"/>
            <family val="2"/>
          </rPr>
          <t xml:space="preserve"> Tenga en cuenta que en cumplimiento lo mínimo es 0% y lo máximo es el 100% de la meta.
</t>
        </r>
      </text>
    </comment>
    <comment ref="B22" authorId="0" shapeId="0" xr:uid="{0A53BAEB-F861-47FD-9ED8-E5B64184BD5E}">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20.xml><?xml version="1.0" encoding="utf-8"?>
<comments xmlns="http://schemas.openxmlformats.org/spreadsheetml/2006/main" xmlns:mc="http://schemas.openxmlformats.org/markup-compatibility/2006" xmlns:xr="http://schemas.microsoft.com/office/spreadsheetml/2014/revision" mc:Ignorable="xr">
  <authors>
    <author>tc={BC98DE44-4881-4800-94AF-1BB56A55348E}</author>
    <author>DIANA</author>
  </authors>
  <commentList>
    <comment ref="C7" authorId="0" shapeId="0" xr:uid="{BC98DE44-4881-4800-94AF-1BB56A55348E}">
      <text>
        <t>[Comentario encadenado]
Su versión de Excel le permite leer este comentario encadenado; sin embargo, las ediciones que se apliquen se quitarán si el archivo se abre en una versión más reciente de Excel. Más información: https://go.microsoft.com/fwlink/?linkid=870924
Comentario:
    Son la cantidad de días que se cargan o asignan a una lesión generada por un accidente o enfermedad laboral, siempre que dicha lesión origine muerte, invalidez o incapacidad permanente parcial (IPP).</t>
      </text>
    </comment>
    <comment ref="B22" authorId="1" shapeId="0" xr:uid="{F48F7EF4-41E6-4CEB-A13A-2272393A3724}">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21.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4D7978FD-60B3-4F6D-8E97-F2E7755645D9}">
      <text>
        <r>
          <rPr>
            <b/>
            <sz val="9"/>
            <color indexed="81"/>
            <rFont val="Tahoma"/>
            <family val="2"/>
          </rPr>
          <t>MONITOR:</t>
        </r>
        <r>
          <rPr>
            <sz val="9"/>
            <color indexed="81"/>
            <rFont val="Tahoma"/>
            <family val="2"/>
          </rPr>
          <t xml:space="preserve"> Tenga en cuenta que en cumplimiento lo mínimo es 0% y lo máximo es el 100% de la meta.
</t>
        </r>
      </text>
    </comment>
  </commentList>
</comments>
</file>

<file path=xl/comments22.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0" authorId="0" shapeId="0" xr:uid="{00000000-0006-0000-1100-000001000000}">
      <text>
        <r>
          <rPr>
            <b/>
            <sz val="9"/>
            <color indexed="81"/>
            <rFont val="Tahoma"/>
            <family val="2"/>
          </rPr>
          <t>MONITOR:</t>
        </r>
        <r>
          <rPr>
            <sz val="9"/>
            <color indexed="81"/>
            <rFont val="Tahoma"/>
            <family val="2"/>
          </rPr>
          <t xml:space="preserve"> Tenga en cuenta que en cumplimiento lo mínimo es 0% y lo máximo es el 100% de la meta.
</t>
        </r>
      </text>
    </comment>
    <comment ref="B21" authorId="0" shapeId="0" xr:uid="{00000000-0006-0000-1100-000002000000}">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2" authorId="0" shapeId="0" xr:uid="{6A9EABB0-44D6-496D-8A40-CA03A6473C5B}">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93EA528C-FD3C-4E15-B614-3F85E5E2922A}">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2" authorId="0" shapeId="0" xr:uid="{3FDFDF69-FDFA-4D72-BC0B-FCE9E0E5DDD7}">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3BC11E9E-C64B-4B8A-85E8-50E2E81B0587}">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2" authorId="0" shapeId="0" xr:uid="{90ED0469-DE4F-4D26-B152-E114BF785E8E}">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E133CCA0-90AA-4F7D-A60F-E4058C75CEB8}">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2" authorId="0" shapeId="0" xr:uid="{A30892DF-AE0D-41DF-A008-DFCE74CEC958}">
      <text>
        <r>
          <rPr>
            <b/>
            <sz val="9"/>
            <color indexed="81"/>
            <rFont val="Tahoma"/>
            <family val="2"/>
          </rPr>
          <t>MONITOR:</t>
        </r>
        <r>
          <rPr>
            <sz val="9"/>
            <color indexed="81"/>
            <rFont val="Tahoma"/>
            <family val="2"/>
          </rPr>
          <t xml:space="preserve"> Tenga en cuenta que en cumplimiento lo mínimo es 0% y lo máximo es el 100% de la meta.
</t>
        </r>
      </text>
    </comment>
    <comment ref="B23" authorId="0" shapeId="0" xr:uid="{E564FB3B-80B1-4B20-A626-0EAE3207D49D}">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372D9C73-C270-43B2-9CB6-AF5CBC398302}">
      <text>
        <r>
          <rPr>
            <b/>
            <sz val="9"/>
            <color indexed="81"/>
            <rFont val="Tahoma"/>
            <family val="2"/>
          </rPr>
          <t>MONITOR:</t>
        </r>
        <r>
          <rPr>
            <sz val="9"/>
            <color indexed="81"/>
            <rFont val="Tahoma"/>
            <family val="2"/>
          </rPr>
          <t xml:space="preserve"> Tenga en cuenta que en cumplimiento lo mínimo es 0% y lo máximo es el 100% de la meta.
</t>
        </r>
      </text>
    </comment>
    <comment ref="B22" authorId="0" shapeId="0" xr:uid="{2BBB166C-ADB0-4416-B1B6-8B8EE01A992F}">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1" authorId="0" shapeId="0" xr:uid="{CAEA6314-BE21-499D-BCE4-E04278414434}">
      <text>
        <r>
          <rPr>
            <b/>
            <sz val="9"/>
            <color indexed="81"/>
            <rFont val="Tahoma"/>
            <family val="2"/>
          </rPr>
          <t>MONITOR:</t>
        </r>
        <r>
          <rPr>
            <sz val="9"/>
            <color indexed="81"/>
            <rFont val="Tahoma"/>
            <family val="2"/>
          </rPr>
          <t xml:space="preserve"> Tenga en cuenta que en cumplimiento lo mínimo es 0% y lo máximo es el 100% de la meta.
</t>
        </r>
      </text>
    </comment>
    <comment ref="B22" authorId="0" shapeId="0" xr:uid="{0DF91833-E428-44F1-BEF9-08C91C24240B}">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DIANA</author>
  </authors>
  <commentList>
    <comment ref="B24" authorId="0" shapeId="0" xr:uid="{675270A8-874E-4457-999B-8769C4A1D383}">
      <text>
        <r>
          <rPr>
            <b/>
            <sz val="9"/>
            <color indexed="81"/>
            <rFont val="Tahoma"/>
            <family val="2"/>
          </rPr>
          <t>MONITOR:</t>
        </r>
        <r>
          <rPr>
            <sz val="9"/>
            <color indexed="81"/>
            <rFont val="Tahoma"/>
            <family val="2"/>
          </rPr>
          <t xml:space="preserve"> Tenga en cuenta que en cumplimiento lo mínimo es 0% y lo máximo es el 100% de la meta.
</t>
        </r>
      </text>
    </comment>
    <comment ref="B25" authorId="0" shapeId="0" xr:uid="{502557DF-5434-4473-A299-4DD91C7E8B8A}">
      <text>
        <r>
          <rPr>
            <b/>
            <sz val="9"/>
            <color indexed="81"/>
            <rFont val="Tahoma"/>
            <family val="2"/>
          </rPr>
          <t>MONITOR:
Incluir el tipo de gráfico que más se ajuste. Debe graficar resultados y meta.</t>
        </r>
        <r>
          <rPr>
            <sz val="9"/>
            <color indexed="81"/>
            <rFont val="Tahoma"/>
            <family val="2"/>
          </rPr>
          <t xml:space="preserve">
</t>
        </r>
      </text>
    </comment>
  </commentList>
</comments>
</file>

<file path=xl/sharedStrings.xml><?xml version="1.0" encoding="utf-8"?>
<sst xmlns="http://schemas.openxmlformats.org/spreadsheetml/2006/main" count="3225" uniqueCount="747">
  <si>
    <t>POLITICA INTEGRAL</t>
  </si>
  <si>
    <t>OBJETIVOS DE GESTIÓN</t>
  </si>
  <si>
    <t>INDICADORES</t>
  </si>
  <si>
    <t>INDICE</t>
  </si>
  <si>
    <t>META</t>
  </si>
  <si>
    <t>FRECUENCIA DE MEDICIÓN</t>
  </si>
  <si>
    <t>RESPONSABLE DE MEDICIÓN</t>
  </si>
  <si>
    <t>FUENTE DE INFORMACIÓN</t>
  </si>
  <si>
    <t>FRECUENCIA DE ANÁLISIS</t>
  </si>
  <si>
    <t>INTERPRETACIÓN DEL RESULTADO</t>
  </si>
  <si>
    <t>PROCESO QUE GESTIONA EL RESULTADO</t>
  </si>
  <si>
    <t>Cargos a reportar los resultados</t>
  </si>
  <si>
    <t>Cumplir con la disponibilidad del servicio</t>
  </si>
  <si>
    <t>Índice de presión del prestador</t>
  </si>
  <si>
    <t>Cant punto que cumplen presión RAS / Cant puntos medidos * 100%</t>
  </si>
  <si>
    <t>Mensual</t>
  </si>
  <si>
    <t>Coord. PTAP</t>
  </si>
  <si>
    <t>Resultados de medición de presión</t>
  </si>
  <si>
    <t>Tratamiento de agua potable</t>
  </si>
  <si>
    <t>índice de agua no contabilizada</t>
  </si>
  <si>
    <t>(Vol producido- Vol Facturado)/ Vol Producido * 100%</t>
  </si>
  <si>
    <t>Informe de lecturas de medidores vs. Facturación.</t>
  </si>
  <si>
    <t xml:space="preserve">Se espera que al menos el 65% del volúmen producido sea facturado. </t>
  </si>
  <si>
    <t>Horas de suspensión suministro de agua (Indice de continuidad)</t>
  </si>
  <si>
    <t>Cantidad de horas prestadas</t>
  </si>
  <si>
    <t>Contínuo (23.1-24 h)
Suficiente (18.1-23 h)
No Satisfactorio (10.1-18 h)
Insuficiente (0-10 h)</t>
  </si>
  <si>
    <t>Reporte al SUI</t>
  </si>
  <si>
    <t>Trimestral</t>
  </si>
  <si>
    <t xml:space="preserve">Debe anilizarse el impacto de las horas sin suministro de agua en los usuarios, el valor no facturado en esas horas, si las horas fueron programadas o no,  para poder establecer si se requieren acciones correctivas. </t>
  </si>
  <si>
    <t>Coord. PTAR</t>
  </si>
  <si>
    <t>Cumplimiento IRCA</t>
  </si>
  <si>
    <t>Promedio de los IRCAs obtenidos en cada muestra realizada en el mes</t>
  </si>
  <si>
    <t>Debe estar entre 0% y 5%</t>
  </si>
  <si>
    <t>Informe de laboratorio</t>
  </si>
  <si>
    <t xml:space="preserve">Mensual </t>
  </si>
  <si>
    <t xml:space="preserve">Clasificación del riesgo de acuerdo con el artículo 15, cuadro 7 de la Resolución 2115 de 2007. Acciones de acuerdo con la clasificación del riesgo. </t>
  </si>
  <si>
    <t>Cantidad de parámetros cumplidos Agua Potable</t>
  </si>
  <si>
    <t>Cantidad de parámetros cumplidos/ Cantidad de parámetros medidos</t>
  </si>
  <si>
    <t>Máximo 1 parámetro incumplido= Mín 97%</t>
  </si>
  <si>
    <t>Resultados de ensayos</t>
  </si>
  <si>
    <t xml:space="preserve">Analizar los parámetros que se están incumpliendo para realizar las correcciones respectivas. Si hay una tendencia en ciertos parámetros a incumplir, debe analizarse la modificación de todo el proceso.  Esto se analiza junto con el IRCA para ver el impacto en este resultado. </t>
  </si>
  <si>
    <t>Cantidad de parámetros cumplidos Agua Vertida</t>
  </si>
  <si>
    <t>Promedio (Cantidad de parámetros cumplidos / Cantidad de parámetros)</t>
  </si>
  <si>
    <t>Máximo 1 parámetro incumplido= Mín 83%</t>
  </si>
  <si>
    <t xml:space="preserve">Analizar cuáles parámetros son los que se están incumpliendo y si se presenta tendencia de incumplimiento en los mismos parámetros. Tomar acciones para ajustes en la operación. </t>
  </si>
  <si>
    <t>Cumplimiento Normativo SST</t>
  </si>
  <si>
    <t xml:space="preserve">Cant. Requisitos cumplidos / Cant. De requisitos aplicables. </t>
  </si>
  <si>
    <t>Mín 90%</t>
  </si>
  <si>
    <t>Matriz legal SST</t>
  </si>
  <si>
    <t>Centrarse en las consecuencias que han tenido o pueden tener los requisitos legales que no se estén cumpliendo.</t>
  </si>
  <si>
    <t>Gestion de personal</t>
  </si>
  <si>
    <t>Contar con recursos humanos competentes</t>
  </si>
  <si>
    <t>Eficacia de las capacitaciones</t>
  </si>
  <si>
    <t xml:space="preserve">Promedio de la eficacia de las capacitaciones en el período. </t>
  </si>
  <si>
    <t>Mín 80%</t>
  </si>
  <si>
    <t>Lider de calidad</t>
  </si>
  <si>
    <t>Programa de capacitacion</t>
  </si>
  <si>
    <t>Analizar  el cumplimiento de la eficiencia n el desempeño de los colaboradores.</t>
  </si>
  <si>
    <t>Cobertura del programa de capacitaciones</t>
  </si>
  <si>
    <t>Numero de personas convocadas/numero de asistentes</t>
  </si>
  <si>
    <t>Analizar si se esta cumpliendo con la cobertura de las capacitaciones prrgramadas</t>
  </si>
  <si>
    <t>Gestionar proveedores</t>
  </si>
  <si>
    <t>Desempeño de los proveedores</t>
  </si>
  <si>
    <t>Promedio de evaluaciones de desempeño de proveedores</t>
  </si>
  <si>
    <t>Mïn 4</t>
  </si>
  <si>
    <t xml:space="preserve">Director de Gestion Humana </t>
  </si>
  <si>
    <t xml:space="preserve">Evaluacion de desempeño de proveedores </t>
  </si>
  <si>
    <t xml:space="preserve">Trimestral </t>
  </si>
  <si>
    <t xml:space="preserve">Evaluar los problemas presentados con el servicio o en términos SST para determinar acciones con el proveedor o su retiro. </t>
  </si>
  <si>
    <t>Brindar servicios satisfactorios para los usuarios</t>
  </si>
  <si>
    <t>Cant solicitudes no atendidas en 15 días/ Cant totatal solicitudes * 100%</t>
  </si>
  <si>
    <t xml:space="preserve">Director Comercial </t>
  </si>
  <si>
    <t xml:space="preserve">Reclamaciones </t>
  </si>
  <si>
    <t>Determinar los tiempos en los que se efectuan las respuestas y establecer cual es la mayor causal utilizada por los usuarios para realizar un plan de accion</t>
  </si>
  <si>
    <t>Gerencia</t>
  </si>
  <si>
    <t>Reclamaciones de los Suscriptores Acueducto (IARA)</t>
  </si>
  <si>
    <t>Encuestas de satisfacción de los usuarios</t>
  </si>
  <si>
    <t>Anual</t>
  </si>
  <si>
    <t xml:space="preserve">Evaluar la percepción de los usuarios sobre diferentes aspectos de los servicios de acueducto y alcantarillado y tomar acciones sobre los resultados más bajos. </t>
  </si>
  <si>
    <t>Rotacion de cartera</t>
  </si>
  <si>
    <t>Cartera General</t>
  </si>
  <si>
    <t xml:space="preserve">Permite apreciar el tiempo en que tarda una empresa en recuperar sus cuentas por cobrar a clientes. </t>
  </si>
  <si>
    <t xml:space="preserve">Cumplimiento de las actividades </t>
  </si>
  <si>
    <t>Cant acum programada/ Cant acum ejecutada de actividades * 100%</t>
  </si>
  <si>
    <t>Dir. Gestión Humana</t>
  </si>
  <si>
    <t>Programa SST</t>
  </si>
  <si>
    <t>TODOS LOS PROCESOS</t>
  </si>
  <si>
    <t>A todo el personal</t>
  </si>
  <si>
    <t>Accidentalidad</t>
  </si>
  <si>
    <t xml:space="preserve">No de accidentes de trabajo en el período  x  K /
Promedio de trabajadores de la empresa
</t>
  </si>
  <si>
    <t>Máx 11765 (máx 1 accidente mensual)</t>
  </si>
  <si>
    <t>Furat</t>
  </si>
  <si>
    <t>La primera parte del indicador sería la proporción de accidentes ocurridos respecto al total de trabajadores en la empresa. El parámetro K lo que hace es estandarizarlo respecto a un número acordado de 200000 para poder comparar el indicador entre diferentes empresas. Es decir que cualquier empresa quedaría estandarizada como si tuviera 100 trabajadores en su nómina trabajando tiempo completo.</t>
  </si>
  <si>
    <t>IS</t>
  </si>
  <si>
    <t xml:space="preserve">No. días perdidos y cargados por AT en el periodo   x  K/  No. HHT año
</t>
  </si>
  <si>
    <t>Máx 32.63 al año(máx 3 días perdidos al mes)</t>
  </si>
  <si>
    <t xml:space="preserve">Incapacidades / Matriz de Ausentismo </t>
  </si>
  <si>
    <t>La primera parte del indicador sería la proporción de los días perdidos por accidentes respecto al total de horas trabajadas en la empresa por todos sus trabajadores. El parámetro K lo que hace es estandarizarlo respecto a un número acordado de 240000 para poder comparar el indicador entre diferentes empresas. Es decir que cualquier empresa quedaría estandarizada como si tuviera 100 trabajadores en su nómina trabajando tiempo completo.</t>
  </si>
  <si>
    <t>Gerencia
Coordinadores</t>
  </si>
  <si>
    <t>IF</t>
  </si>
  <si>
    <t xml:space="preserve">No. total de AT en el periodo   x    K /  No. HHT año
</t>
  </si>
  <si>
    <t>Máx10.9 al año (Máx 1 accidente al mes)</t>
  </si>
  <si>
    <t>La primera parte del indicador sería la proporción de accidentes ocurridos respecto al total de horas trabajadas en la empresa por todos sus trabajadores. El parámetro K lo que hace es estandarizarlo respecto a un número acordado de 240000 para poder comparar el indicador entre diferentes empresas. Es decir que cualquier empresa quedaría estandarizada como si tuviera 100 trabajadores en su nómina trabajando tiempo completo.</t>
  </si>
  <si>
    <t>ILI</t>
  </si>
  <si>
    <t xml:space="preserve">IFI AT x IS AT /  1000
</t>
  </si>
  <si>
    <t>Máx 356 al año</t>
  </si>
  <si>
    <t>NA.</t>
  </si>
  <si>
    <t xml:space="preserve">Es la estandarizacion de la cantidad de accidentes y los días de incapacidad que representan estos, estandarizados para comparar entre empresas de 100 trabajadores. </t>
  </si>
  <si>
    <t>Cantidad de incidentes</t>
  </si>
  <si>
    <t>Cantidad de incidentes acum</t>
  </si>
  <si>
    <t>Máx 3/ mes</t>
  </si>
  <si>
    <t>Reportes de incidentes</t>
  </si>
  <si>
    <t xml:space="preserve">Se identifican los incidentes como opurtunidad para prevenir futuros accidentes. </t>
  </si>
  <si>
    <t>FICHA DE INDICADOR DE GESTIÓN</t>
  </si>
  <si>
    <t>CÓDIGO</t>
  </si>
  <si>
    <t>VERSIÓN</t>
  </si>
  <si>
    <t>FECHA</t>
  </si>
  <si>
    <t>PAGINA</t>
  </si>
  <si>
    <t>1 DE 1</t>
  </si>
  <si>
    <t>PAG _____ DE ____</t>
  </si>
  <si>
    <t>Volver</t>
  </si>
  <si>
    <t>INDICADOR</t>
  </si>
  <si>
    <t>UNIDAD DE MEDICIÓN</t>
  </si>
  <si>
    <t>Porcentaje</t>
  </si>
  <si>
    <t>METAS</t>
  </si>
  <si>
    <t>RESPONSABLE DE LA RECOPILACIÓN DE DATOS</t>
  </si>
  <si>
    <t>Coordinador operativo</t>
  </si>
  <si>
    <t>ANALISIS DEL INDICADOR</t>
  </si>
  <si>
    <t>CARGOS QUE DEBEN CONOCER LOS RESULTADOS</t>
  </si>
  <si>
    <t>MES</t>
  </si>
  <si>
    <t>ene</t>
  </si>
  <si>
    <t>feb</t>
  </si>
  <si>
    <t>mar</t>
  </si>
  <si>
    <t>abr</t>
  </si>
  <si>
    <t>may</t>
  </si>
  <si>
    <t>jun</t>
  </si>
  <si>
    <t>jul</t>
  </si>
  <si>
    <t>ago</t>
  </si>
  <si>
    <t>sep</t>
  </si>
  <si>
    <t>oct</t>
  </si>
  <si>
    <t>nov</t>
  </si>
  <si>
    <t>dic</t>
  </si>
  <si>
    <t>CALCULO DEL INDICADOR (introducir en la fórmula los valores completos, no directamente el resultado)</t>
  </si>
  <si>
    <t>CUMPLIMIENTO DE LA META= (diligenciar fórmula)</t>
  </si>
  <si>
    <t>GRAFICO DE TENDENCIAS</t>
  </si>
  <si>
    <t>ANÁLISIS DE LOS RESULTADOS (incluir justificación de deducciones)</t>
  </si>
  <si>
    <t>ACCIONES TOMADAS</t>
  </si>
  <si>
    <t>1- (Vol producido- Vol Facturado)/ Vol Producido * 100%</t>
  </si>
  <si>
    <t>ANALISIS DE CALIDAD DEL AGUA POTABLE</t>
  </si>
  <si>
    <t>Conductividad/ Tº</t>
  </si>
  <si>
    <t>C: Cumple  NC: No cumple  A: Aceptable   NA: No Aceptable</t>
  </si>
  <si>
    <t>Resultados</t>
  </si>
  <si>
    <t>Indicador</t>
  </si>
  <si>
    <t>Unidad</t>
  </si>
  <si>
    <t>Meta</t>
  </si>
  <si>
    <t>Frecuencia</t>
  </si>
  <si>
    <t>Puntaje de riesgo IRCA</t>
  </si>
  <si>
    <t>Aceptable o no aceptable</t>
  </si>
  <si>
    <t>Aceptable</t>
  </si>
  <si>
    <t>A</t>
  </si>
  <si>
    <t>C</t>
  </si>
  <si>
    <t>Temperatura</t>
  </si>
  <si>
    <t>ºC</t>
  </si>
  <si>
    <t>No aplica</t>
  </si>
  <si>
    <t>Conductividad</t>
  </si>
  <si>
    <r>
      <rPr>
        <sz val="11"/>
        <color theme="1"/>
        <rFont val="Symbol"/>
        <family val="1"/>
        <charset val="2"/>
      </rPr>
      <t>m</t>
    </r>
    <r>
      <rPr>
        <sz val="11"/>
        <color theme="1"/>
        <rFont val="Calibri"/>
        <family val="2"/>
        <scheme val="minor"/>
      </rPr>
      <t>Siemens</t>
    </r>
  </si>
  <si>
    <t>mg/L</t>
  </si>
  <si>
    <t>Máx</t>
  </si>
  <si>
    <t>Color aparente</t>
  </si>
  <si>
    <t>Unidades de Platino Cobalto (UPC)</t>
  </si>
  <si>
    <t>Turbiedad</t>
  </si>
  <si>
    <t>Unidades Nefelométricas de turbiedad (UNT)</t>
  </si>
  <si>
    <t>-</t>
  </si>
  <si>
    <t>Entre</t>
  </si>
  <si>
    <t>6.5-9.0</t>
  </si>
  <si>
    <t>Carbono Orgánico Total- COT</t>
  </si>
  <si>
    <t>Nitritos NO2-</t>
  </si>
  <si>
    <t>Nitratos NO3-</t>
  </si>
  <si>
    <t>Alcalinidad Total CaCO3</t>
  </si>
  <si>
    <t>Cloruros CL-</t>
  </si>
  <si>
    <t>Aluminio Al3+</t>
  </si>
  <si>
    <t>Dureza Total CaCO3</t>
  </si>
  <si>
    <t>Hierro Total Fe</t>
  </si>
  <si>
    <t>Manganeso Mn</t>
  </si>
  <si>
    <t>Sulfatos SO4 2-</t>
  </si>
  <si>
    <t>Cloro residual</t>
  </si>
  <si>
    <t>0.2-2.0</t>
  </si>
  <si>
    <t>Fosfatos</t>
  </si>
  <si>
    <t>0 - 0,5</t>
  </si>
  <si>
    <t>Calcio Total</t>
  </si>
  <si>
    <t>0 - 60</t>
  </si>
  <si>
    <t>Coliformes Totales</t>
  </si>
  <si>
    <t>UFC/100 mL</t>
  </si>
  <si>
    <t>0 - 0</t>
  </si>
  <si>
    <t>Escherichia Coli</t>
  </si>
  <si>
    <t>Fluoruros</t>
  </si>
  <si>
    <t>mg F/L</t>
  </si>
  <si>
    <t>Max</t>
  </si>
  <si>
    <t>ZINC</t>
  </si>
  <si>
    <t>mg Metal/L</t>
  </si>
  <si>
    <t>Molibdeno</t>
  </si>
  <si>
    <t>Magnesio</t>
  </si>
  <si>
    <t>IRCA</t>
  </si>
  <si>
    <t>%</t>
  </si>
  <si>
    <t>0-5 Sin riesgo
5.1-14 Bajo
14.1-35 Medio
35.1-80 Alto
80.1-100 Inviable</t>
  </si>
  <si>
    <t>Sumatoria de los Puntajes de riesgo de los parámetros que se midan en el período</t>
  </si>
  <si>
    <t>Cantidad de parámetros cumplidos</t>
  </si>
  <si>
    <t>unidad</t>
  </si>
  <si>
    <t>Mín 97%</t>
  </si>
  <si>
    <t>ANALISIS</t>
  </si>
  <si>
    <t>ACCIÓN PROPUESTA</t>
  </si>
  <si>
    <t>Para tener en cuenta en el análisis del resultado IRCA</t>
  </si>
  <si>
    <t>Enero</t>
  </si>
  <si>
    <t>Febrero</t>
  </si>
  <si>
    <t>Marzo</t>
  </si>
  <si>
    <t>Abril</t>
  </si>
  <si>
    <t>Mayo</t>
  </si>
  <si>
    <t>Junio</t>
  </si>
  <si>
    <t>Julio</t>
  </si>
  <si>
    <t>Agosto</t>
  </si>
  <si>
    <t>Septiembre</t>
  </si>
  <si>
    <t>Octubre</t>
  </si>
  <si>
    <t>Noviembre</t>
  </si>
  <si>
    <t>Diciembre</t>
  </si>
  <si>
    <t>ANALISIS DE CALIDAD DEL AGUA VERTIDA</t>
  </si>
  <si>
    <t xml:space="preserve">C: Cumple  NC: No cumple </t>
  </si>
  <si>
    <t>Puntaje de riesgo</t>
  </si>
  <si>
    <t>Dir. Comercial</t>
  </si>
  <si>
    <t>Director Comercial</t>
  </si>
  <si>
    <t>Coordinador PTAR</t>
  </si>
  <si>
    <t xml:space="preserve">Total de encuestas realizadas/numero de encuestas satisfacciòn </t>
  </si>
  <si>
    <t>Cant solicitudes no atendidas en 15 días/ Cant total solicitudes * 100%</t>
  </si>
  <si>
    <t>Reclamaciones de los usuarios Alcantarillado (IARAL)</t>
  </si>
  <si>
    <t>RESULTADO POR OBJETIVO</t>
  </si>
  <si>
    <t xml:space="preserve">Tratamiento de agua residual </t>
  </si>
  <si>
    <t xml:space="preserve">Gestion Comercial </t>
  </si>
  <si>
    <t>(Valor Recaudado Usuario Fina Acueducto/ Valor Facturado Usuario Acueducto) * 100%</t>
  </si>
  <si>
    <t xml:space="preserve">Eficiencia De Recaudo Acueducto </t>
  </si>
  <si>
    <t xml:space="preserve">Eficiencia De Recaudo Alcantarillado </t>
  </si>
  <si>
    <t>(Valor Recaudado Usuario Fina Alcantarillado/ Valor Facturado Usuario Alcantarillado) * 100%</t>
  </si>
  <si>
    <t xml:space="preserve">Informe de Cartera </t>
  </si>
  <si>
    <t xml:space="preserve">Gerencia </t>
  </si>
  <si>
    <t>Rotacion de Cartera</t>
  </si>
  <si>
    <t xml:space="preserve">Anual </t>
  </si>
  <si>
    <t xml:space="preserve">Cartera </t>
  </si>
  <si>
    <t>Ctas. Por cobrar (saldo carrtera) x 360 dias / Ventas netas a credito (Total facturación)</t>
  </si>
  <si>
    <t>Ctas. Por cobrar (saldo cartera) x 360 dias / Ventas netas a credito (Total facturación)</t>
  </si>
  <si>
    <t xml:space="preserve">Tratamiento de agua potable </t>
  </si>
  <si>
    <t xml:space="preserve">Tratamiento de agua Potable </t>
  </si>
  <si>
    <t xml:space="preserve">Tratamiento de agua Residual </t>
  </si>
  <si>
    <t>ml/l</t>
  </si>
  <si>
    <t>Lodos Sedimentables en Tanque Reactor No. 2</t>
  </si>
  <si>
    <t xml:space="preserve">mg/l   </t>
  </si>
  <si>
    <t>Oxígeno Disuelto en Tanque de Contacto</t>
  </si>
  <si>
    <t xml:space="preserve">Permite ver como es el recaudo mensual acumulado para alcantarillado </t>
  </si>
  <si>
    <t>Permite ver como es el recaudo mensual acumulado para acueducto</t>
  </si>
  <si>
    <t>Es el numero de actividades cumplidas de las programadas en el Programa diseñado actualmente con el fin de dar respuesta al decreto 1072 de 2015.</t>
  </si>
  <si>
    <t xml:space="preserve">Director Gestion Humana </t>
  </si>
  <si>
    <t xml:space="preserve">Gerencia, Coordinadores </t>
  </si>
  <si>
    <t>Ene</t>
  </si>
  <si>
    <t>Feb</t>
  </si>
  <si>
    <t>Mar</t>
  </si>
  <si>
    <t>Abr</t>
  </si>
  <si>
    <t>May</t>
  </si>
  <si>
    <t>Jun</t>
  </si>
  <si>
    <t>Jul</t>
  </si>
  <si>
    <t>Ago</t>
  </si>
  <si>
    <t>Sep</t>
  </si>
  <si>
    <t>Oct</t>
  </si>
  <si>
    <t>Nov</t>
  </si>
  <si>
    <t>Dic</t>
  </si>
  <si>
    <t xml:space="preserve">AÑO  </t>
  </si>
  <si>
    <t>PUNTO</t>
  </si>
  <si>
    <t>CODIGO</t>
  </si>
  <si>
    <t>DIRECCION</t>
  </si>
  <si>
    <t>MANZANA</t>
  </si>
  <si>
    <t>PSI</t>
  </si>
  <si>
    <t>MCA</t>
  </si>
  <si>
    <t>ENERO</t>
  </si>
  <si>
    <t>FEBRERO</t>
  </si>
  <si>
    <t>MARZO</t>
  </si>
  <si>
    <t>ABRIL</t>
  </si>
  <si>
    <t>MAYO</t>
  </si>
  <si>
    <t>JUNIO</t>
  </si>
  <si>
    <t>TOTAL FAC (m3)</t>
  </si>
  <si>
    <t xml:space="preserve">ENERO </t>
  </si>
  <si>
    <t>JULIO</t>
  </si>
  <si>
    <t xml:space="preserve">AGOSTO </t>
  </si>
  <si>
    <t>SEPTIEMBRE</t>
  </si>
  <si>
    <t>OCTUBRE</t>
  </si>
  <si>
    <t>NOVIEMBRE</t>
  </si>
  <si>
    <t>DICIEMBRE</t>
  </si>
  <si>
    <t xml:space="preserve">Se espera que al menos el 70% del volúmen producido sea facturado. </t>
  </si>
  <si>
    <t>EFICACIA DEL SISTEMA DE GESTIÓN INTEGRAL</t>
  </si>
  <si>
    <t>PARAMETROS</t>
  </si>
  <si>
    <t xml:space="preserve">CUMPLIMIENTO </t>
  </si>
  <si>
    <t xml:space="preserve">Porcentaje </t>
  </si>
  <si>
    <t xml:space="preserve">Gestion de Atencion al usuario </t>
  </si>
  <si>
    <t>Mín 3</t>
  </si>
  <si>
    <t xml:space="preserve">(Total horas del mes-Horas de suspension)/dias del mes </t>
  </si>
  <si>
    <t>Tratamiento de Agua Potable</t>
  </si>
  <si>
    <t xml:space="preserve">Cantidad de Horas prestadas </t>
  </si>
  <si>
    <t xml:space="preserve">Coordiandor Planta de Tratamiento agua residual </t>
  </si>
  <si>
    <t xml:space="preserve">Nov </t>
  </si>
  <si>
    <t>CRA 11C # 31A-22</t>
  </si>
  <si>
    <t>PLANTA POTABLE</t>
  </si>
  <si>
    <t>CRA 23F  2B-29 MZ 24A</t>
  </si>
  <si>
    <t>MZ 24 B</t>
  </si>
  <si>
    <t>CALLE 1  27-16 MZ 1</t>
  </si>
  <si>
    <t>MZ 1</t>
  </si>
  <si>
    <t>TRANSV 18A # 7A-34</t>
  </si>
  <si>
    <t>MZ 66</t>
  </si>
  <si>
    <t>CALLE 29 SUR 13A-25</t>
  </si>
  <si>
    <t>CONJUNTO ARBOLEDA</t>
  </si>
  <si>
    <t>CASETA PTAR</t>
  </si>
  <si>
    <t>pH</t>
  </si>
  <si>
    <t xml:space="preserve">Se deben medir 6 puntos en la extensión de la red de acuerdo con la Secretaría de salud de Soacha. Los 6 puntos deben cumplir </t>
  </si>
  <si>
    <t>E</t>
  </si>
  <si>
    <t>F</t>
  </si>
  <si>
    <t>M</t>
  </si>
  <si>
    <t>J</t>
  </si>
  <si>
    <t>SEP</t>
  </si>
  <si>
    <t>OCT</t>
  </si>
  <si>
    <t>NOV</t>
  </si>
  <si>
    <t>DIC</t>
  </si>
  <si>
    <t xml:space="preserve">6 puntos dentro del mes </t>
  </si>
  <si>
    <t>ENE</t>
  </si>
  <si>
    <t>FEB</t>
  </si>
  <si>
    <t>MAR</t>
  </si>
  <si>
    <t>ABR</t>
  </si>
  <si>
    <t>MAY</t>
  </si>
  <si>
    <t>JUN</t>
  </si>
  <si>
    <t>JUL</t>
  </si>
  <si>
    <t>AGO</t>
  </si>
  <si>
    <t>Cantidad Total De PQRS Acueducto</t>
  </si>
  <si>
    <t>Cantidad De Solicitudes No Atendidas En 15 dias</t>
  </si>
  <si>
    <t>Meta Propuesta</t>
  </si>
  <si>
    <t>Periodo 2020</t>
  </si>
  <si>
    <t>Cantidad Total de PQRS</t>
  </si>
  <si>
    <t>Cant solicitudes no atendidas en 15 días</t>
  </si>
  <si>
    <t>Total Facturado</t>
  </si>
  <si>
    <t>Toral Recaudado</t>
  </si>
  <si>
    <t>Mes</t>
  </si>
  <si>
    <t>Total Recaudado</t>
  </si>
  <si>
    <t>Valor Recaudado</t>
  </si>
  <si>
    <t>Valor Facturado</t>
  </si>
  <si>
    <t>Promedio del resultado de las encuestas</t>
  </si>
  <si>
    <t>Cantidad</t>
  </si>
  <si>
    <t>Mínimo 3</t>
  </si>
  <si>
    <t>Entre  0-2 se considera completamente insatisfecho
            2-3  Insatisfecho
            3-4  Satisfecho
            4-5 Muy satisfecho</t>
  </si>
  <si>
    <t xml:space="preserve">Promedio de los resultados: </t>
  </si>
  <si>
    <t>0-2</t>
  </si>
  <si>
    <t>2-3</t>
  </si>
  <si>
    <t>3'-4</t>
  </si>
  <si>
    <t>4-5</t>
  </si>
  <si>
    <t xml:space="preserve">Rotacion de Cartera </t>
  </si>
  <si>
    <t>Ctas. Por cobrar x 360 dias / Ventas netas a credito</t>
  </si>
  <si>
    <t>SST</t>
  </si>
  <si>
    <t>Primer Trimestre</t>
  </si>
  <si>
    <t>Segundo Trimestre</t>
  </si>
  <si>
    <t>Tercer Trimestre</t>
  </si>
  <si>
    <t>Cuarto Trimestre</t>
  </si>
  <si>
    <t>PERIODO (MES/AÑO)</t>
  </si>
  <si>
    <t>OBJETIVO(%)</t>
  </si>
  <si>
    <t>CANTIDAD DE REQUISITOS CUMPLIDOS</t>
  </si>
  <si>
    <t xml:space="preserve">CANTIDAD DE REQUISITOS APLICABLES </t>
  </si>
  <si>
    <t>PORCENTAJE DE CUMPLIMIENTO</t>
  </si>
  <si>
    <t>Desempeño de proveedores</t>
  </si>
  <si>
    <t>Promedio de las evaluación de desempeño de los proveedores</t>
  </si>
  <si>
    <t xml:space="preserve">Directora de Gestion Humana </t>
  </si>
  <si>
    <t>Evaluaciones de desempeño de proveedores</t>
  </si>
  <si>
    <t xml:space="preserve">Resultado de las evaluaciones del desempeño de los proveedores de acuerdo con las especificaciones de la matriz de control de los mismos. </t>
  </si>
  <si>
    <t xml:space="preserve">Todos los procesos </t>
  </si>
  <si>
    <t xml:space="preserve">ANÁLISIS DE LOS RESULTADOS </t>
  </si>
  <si>
    <t>Pomedio Trimestre Proveedores</t>
  </si>
  <si>
    <t>1er Trimestre</t>
  </si>
  <si>
    <t>2do Trimestre</t>
  </si>
  <si>
    <t>3er Trimestre</t>
  </si>
  <si>
    <t>4to Trimestre</t>
  </si>
  <si>
    <t>Promedio trimestre proveedores/calificacion total general x 100</t>
  </si>
  <si>
    <t xml:space="preserve">Volver </t>
  </si>
  <si>
    <t>Mínimo 90%</t>
  </si>
  <si>
    <t xml:space="preserve">Dir. Gestion Humana </t>
  </si>
  <si>
    <t xml:space="preserve">Gestion de personal </t>
  </si>
  <si>
    <t>NUMERO DE ACTIVIDADES PROGRAMADAS ANUALMENTE ACUMULADAS</t>
  </si>
  <si>
    <t>ACTIVIDADES EJECUTADAS EN EL AÑO ACUMULADAS</t>
  </si>
  <si>
    <t>Numero de asistentes / Numero de personas convocadas</t>
  </si>
  <si>
    <t>Programa de Capacitacion</t>
  </si>
  <si>
    <t>Porcentaje en el cual los trabajadores estan asistiendo a las capacitaciones programadas.</t>
  </si>
  <si>
    <t xml:space="preserve">Gestion de Personal </t>
  </si>
  <si>
    <t>NUMERO DE CAPACITACIONES EJECUTADAS</t>
  </si>
  <si>
    <t>NUMERO DE PERSONAS CONVOCADAS</t>
  </si>
  <si>
    <t>NUMERO DE ASISTENTES</t>
  </si>
  <si>
    <t>Evaluación de desempeño / Programa de Capacitación</t>
  </si>
  <si>
    <t>Gestiòn de personal</t>
  </si>
  <si>
    <t>objetivo trimestral</t>
  </si>
  <si>
    <t>Dir. Gestion Humana</t>
  </si>
  <si>
    <t>NUMERO DE ACCIDENTES DE TRABAJO EN EL PERIODO</t>
  </si>
  <si>
    <t>NUMERO DE TRABAJADORES DE LA EMPRESA EN EL PERIODO</t>
  </si>
  <si>
    <t>tasa de accidentalidad</t>
  </si>
  <si>
    <t>indicador ( en porcentaje)</t>
  </si>
  <si>
    <t>indice de frecuencia de accidentalidad(IFA)</t>
  </si>
  <si>
    <t xml:space="preserve">Incapacidades </t>
  </si>
  <si>
    <t>Impacto de los accidentes respecto a los dias de incapacidad que se generan por esta causa.</t>
  </si>
  <si>
    <t>nro de empleados</t>
  </si>
  <si>
    <t>Semana</t>
  </si>
  <si>
    <t>C/U</t>
  </si>
  <si>
    <t>Horas al mes x nro Trabajadores</t>
  </si>
  <si>
    <t>Horas Trabajadas Año x 27 Trabajadores</t>
  </si>
  <si>
    <t>HHT POR MES</t>
  </si>
  <si>
    <t>HHT AÑO</t>
  </si>
  <si>
    <t>Nro de  Empleados/mes</t>
  </si>
  <si>
    <t>INDICADOR SEVERIDAD</t>
  </si>
  <si>
    <t>Indicador (maximo permitido)</t>
  </si>
  <si>
    <t xml:space="preserve">Indice de Frecuencia </t>
  </si>
  <si>
    <t>Evalúa y presenta los resultados de la frecuencia de los eventos, se puede hacer frente a accidentes
de trabajo, enfermedades profesionales, enfermedades de origen común, etc</t>
  </si>
  <si>
    <t>HORAS HOMBRE TRABAJADAS</t>
  </si>
  <si>
    <t xml:space="preserve">Indice de Lesiones Incapacitantes </t>
  </si>
  <si>
    <t>Relación del número de casos de accidentes de trabajo, ocurridos durante el período con el número promedio de trabajadores en el mismo período</t>
  </si>
  <si>
    <t>Indice de Frecuencia</t>
  </si>
  <si>
    <t>Indice De Severidad</t>
  </si>
  <si>
    <t>Indidicador de Lesiones</t>
  </si>
  <si>
    <t>Cantidad de Incidentes</t>
  </si>
  <si>
    <t>Cantidad de Incidentes acumulados / Mes</t>
  </si>
  <si>
    <t>Reporte de Incidentes</t>
  </si>
  <si>
    <t xml:space="preserve">Cantidad de casi accidentes ocurridos en el periodo y su analisis </t>
  </si>
  <si>
    <t>Numero incidentes mes</t>
  </si>
  <si>
    <t xml:space="preserve">NUMERO DE ACTIVIDADES PROGRAMADAS </t>
  </si>
  <si>
    <t xml:space="preserve">ACTIVIDADES EJECUTADAS </t>
  </si>
  <si>
    <t>EFICACIA DEL SGC</t>
  </si>
  <si>
    <t>OBJETIVOS</t>
  </si>
  <si>
    <t>Gestión de atención al usuario</t>
  </si>
  <si>
    <t xml:space="preserve"> </t>
  </si>
  <si>
    <t>Ctas x cobrar</t>
  </si>
  <si>
    <t>Dias</t>
  </si>
  <si>
    <t>x</t>
  </si>
  <si>
    <t>Total horas mes</t>
  </si>
  <si>
    <t>Horas de suspensión</t>
  </si>
  <si>
    <t>dias del mes</t>
  </si>
  <si>
    <t>Indicador  (Cant. H Prestada)</t>
  </si>
  <si>
    <t>Irca</t>
  </si>
  <si>
    <t>Irca (Promedio según resultados)</t>
  </si>
  <si>
    <t>Sin riesgo</t>
  </si>
  <si>
    <t>FECHA ULTIMA ACTUALIZACION</t>
  </si>
  <si>
    <t>Total</t>
  </si>
  <si>
    <t>Maximo 2 parametros cumplido</t>
  </si>
  <si>
    <t>No de accidentes de trabajo en el período  x  K (200.000)/
Promedio de trabajadores de la empresa</t>
  </si>
  <si>
    <t>IFI AT x IS AT /  1000                                     (indice de frecuencia X Indice de severidad)</t>
  </si>
  <si>
    <t>(Capacitaciones realizadas / Total Capacitaciones Programadas) * 100= %</t>
  </si>
  <si>
    <t>Programa de capacitaciones</t>
  </si>
  <si>
    <t>Pomedio</t>
  </si>
  <si>
    <t>Perdida (IANC)</t>
  </si>
  <si>
    <t>RANGOS</t>
  </si>
  <si>
    <t>RANGO</t>
  </si>
  <si>
    <t>Director Gestion Humana</t>
  </si>
  <si>
    <t>Total Parametros= 22</t>
  </si>
  <si>
    <t>Resultado</t>
  </si>
  <si>
    <t>Indicador Parametros</t>
  </si>
  <si>
    <t>Máximo 2 parámetros incumplidos = Mín 90.91%</t>
  </si>
  <si>
    <t>Meta Oxigeno</t>
  </si>
  <si>
    <t>Meta Lodos</t>
  </si>
  <si>
    <t xml:space="preserve"> Meta </t>
  </si>
  <si>
    <t>Cant punto que cumplen presión RAS</t>
  </si>
  <si>
    <t>Cant puntos medidos</t>
  </si>
  <si>
    <t>2do. Trimestre</t>
  </si>
  <si>
    <t>3er. Trimestre</t>
  </si>
  <si>
    <t>4to. Trimestre</t>
  </si>
  <si>
    <t>TRIMESTRE</t>
  </si>
  <si>
    <t>1er. Trimestre</t>
  </si>
  <si>
    <t>META (%)</t>
  </si>
  <si>
    <t>EFICACIA DE LAS CAPACITACIONES RECIBIDAS SEGÚN EVALUACION DE DESEMPEÑO</t>
  </si>
  <si>
    <t>Agos</t>
  </si>
  <si>
    <t>Sept</t>
  </si>
  <si>
    <t>Octu</t>
  </si>
  <si>
    <t>Mín 75%</t>
  </si>
  <si>
    <t>K</t>
  </si>
  <si>
    <t>Calculo</t>
  </si>
  <si>
    <t>Seguimiento mensual y medicion anual según su promedio final</t>
  </si>
  <si>
    <t>Incidentes</t>
  </si>
  <si>
    <t>Indicador Cantidad de incidentes</t>
  </si>
  <si>
    <t>Promedio</t>
  </si>
  <si>
    <t>Se cumple el indicador respondiendo en el plazo de menos de 15 dias.</t>
  </si>
  <si>
    <t>Ninguna accion requerida</t>
  </si>
  <si>
    <t>Toma 1</t>
  </si>
  <si>
    <t>Toma 2</t>
  </si>
  <si>
    <t>CUMPLIMIENTO DE LA META</t>
  </si>
  <si>
    <t xml:space="preserve">CALCULO DEL INDICADOR </t>
  </si>
  <si>
    <r>
      <t xml:space="preserve">
</t>
    </r>
    <r>
      <rPr>
        <sz val="10"/>
        <color theme="0"/>
        <rFont val="Arial Nova"/>
        <family val="2"/>
      </rPr>
      <t>GRAFICO DE TENDENCIAS</t>
    </r>
  </si>
  <si>
    <t xml:space="preserve">CALCULO DEL INDICADOR MES </t>
  </si>
  <si>
    <t>OBJETIVO(nro de accidentes maximo por 200mil HT)</t>
  </si>
  <si>
    <t>Incapacidades</t>
  </si>
  <si>
    <t>enero</t>
  </si>
  <si>
    <t>febrero</t>
  </si>
  <si>
    <t>marzo</t>
  </si>
  <si>
    <t>abril</t>
  </si>
  <si>
    <t>mayo</t>
  </si>
  <si>
    <t>junio</t>
  </si>
  <si>
    <t>julio</t>
  </si>
  <si>
    <t xml:space="preserve">Ausentismo Laboral por causa medica </t>
  </si>
  <si>
    <t xml:space="preserve">Seguimiento mensual y medicion anual </t>
  </si>
  <si>
    <t>tasa de ausentismo</t>
  </si>
  <si>
    <t xml:space="preserve">NUMERO DE DIAS DE AUSENCIAS EN EL PERIODO </t>
  </si>
  <si>
    <t>Incapacidades laborales y comunes, HHT</t>
  </si>
  <si>
    <t xml:space="preserve">Incidencia  de la enfermedad laboral </t>
  </si>
  <si>
    <t xml:space="preserve">Número de casos nuevos de enfermedad laboral en el periodo / Promedio Total de trabajadores en el periodo * 200.000 </t>
  </si>
  <si>
    <t xml:space="preserve">Cantidad de accidentes ocurridos en el periodo </t>
  </si>
  <si>
    <t xml:space="preserve">enero </t>
  </si>
  <si>
    <t>agost</t>
  </si>
  <si>
    <t>META  ≥</t>
  </si>
  <si>
    <t xml:space="preserve">   ≥  96%   (1 Accidente leve al año)</t>
  </si>
  <si>
    <t xml:space="preserve">  Número de accidentes de trabajo en el periodo / Número de trabajadores en el Periodo  * 100</t>
  </si>
  <si>
    <t xml:space="preserve"> Número de días Perdidos por AT en el mes + Número de días cargados en el mes / Numero de trabajadores en el mes *100</t>
  </si>
  <si>
    <t xml:space="preserve">Indice de Severidad     </t>
  </si>
  <si>
    <t>Numero de dias perdidos por accidente en el mes</t>
  </si>
  <si>
    <t xml:space="preserve">Numero de dias cargados en el mes </t>
  </si>
  <si>
    <t>Decimales 0.1</t>
  </si>
  <si>
    <t xml:space="preserve">   ≥  100%   (0 Diagnostico de enfermedad laboral)</t>
  </si>
  <si>
    <t>Incidencia de enfermedad laboral</t>
  </si>
  <si>
    <t>100%                                      (0 Diagnostico de enfermedad laboral)</t>
  </si>
  <si>
    <t>FUREL</t>
  </si>
  <si>
    <t xml:space="preserve">La primera parte del indicador sería la proporción de enfermedades laborales diagnosticadas respecto al total de trabajadores en la empresa. El parámetro K lo que hace es estandarizarlo respecto a un número acordado de 200000 para poder comparar el indicador entre diferentes empresas. </t>
  </si>
  <si>
    <t>Decimal</t>
  </si>
  <si>
    <t>Dias/Año</t>
  </si>
  <si>
    <t>83.33 % (El ausentismo mensual no supere el 16.67% en el periodo, equivalente a 5 dias )</t>
  </si>
  <si>
    <t>Número de días de ausencia por incapacidad laboral de origen comun  / Numero de días de trabajo programados * 100</t>
  </si>
  <si>
    <t xml:space="preserve">Cantidad de enfermedades laborales diagnosticas en el periodo </t>
  </si>
  <si>
    <t>La primera parte del indicador sería la proporción de incapacidades por enfermedad comun en el periodo.</t>
  </si>
  <si>
    <t>Numero de dias perdidos por incapacidad laboral de origen comun.</t>
  </si>
  <si>
    <t>Min 90%  (90% de cumplimiento por parte de los proveedores)</t>
  </si>
  <si>
    <t>NUMERO DE  DIAS TRABAJADOS EN EL PERIODO</t>
  </si>
  <si>
    <t>tasa de enfermedad</t>
  </si>
  <si>
    <t>Cant PQRS no contestadas en el mes</t>
  </si>
  <si>
    <t>Cant PQRS contestadas en el mes</t>
  </si>
  <si>
    <t>Parametro Ph</t>
  </si>
  <si>
    <t>Rango</t>
  </si>
  <si>
    <t>Ph</t>
  </si>
  <si>
    <t>Meta Max</t>
  </si>
  <si>
    <t>Meta Min</t>
  </si>
  <si>
    <t>Olor</t>
  </si>
  <si>
    <t>Cumplimiento calidad agua residual vertida</t>
  </si>
  <si>
    <t xml:space="preserve">Cantidad de parámetros cumplidos-Cantidad de parámetros incumplidos </t>
  </si>
  <si>
    <t>Resultado de muestra de laboratorio certificado</t>
  </si>
  <si>
    <t>Determina el cumplimiento de cada uno de los parametros evaluados</t>
  </si>
  <si>
    <t>TEMPERATURA</t>
  </si>
  <si>
    <t>SOLIDOS SEDIMENTABLES</t>
  </si>
  <si>
    <t>CAUDALES</t>
  </si>
  <si>
    <t>DBO</t>
  </si>
  <si>
    <t>DQO</t>
  </si>
  <si>
    <t>DETERGENTES</t>
  </si>
  <si>
    <t>FOSFORO TOTAL</t>
  </si>
  <si>
    <t>GRASAS Y ACEITES</t>
  </si>
  <si>
    <t xml:space="preserve">NITROGENO AMONIACAL </t>
  </si>
  <si>
    <t>NITROGENO TOTAL</t>
  </si>
  <si>
    <t>HIDROCARBUROS TOTALES</t>
  </si>
  <si>
    <t>NITRATOS (mg N-NO3/L)</t>
  </si>
  <si>
    <t>NITRITOS (mg N-NO2/L)</t>
  </si>
  <si>
    <t>ORTOFOSFATOS (mg P-PO4/L)</t>
  </si>
  <si>
    <t>ENTRADA PTAR</t>
  </si>
  <si>
    <t>SALIDA PTAR</t>
  </si>
  <si>
    <t>&lt;0,1</t>
  </si>
  <si>
    <t>7,56-11,21</t>
  </si>
  <si>
    <t>&lt;30</t>
  </si>
  <si>
    <t>&lt;2</t>
  </si>
  <si>
    <t>&lt;0,015</t>
  </si>
  <si>
    <t>CUMPLIMIENTO</t>
  </si>
  <si>
    <t>CUMPLE</t>
  </si>
  <si>
    <t>% REMOCIÓN</t>
  </si>
  <si>
    <t>8.16</t>
  </si>
  <si>
    <t>18.08</t>
  </si>
  <si>
    <t>0.91</t>
  </si>
  <si>
    <t>443.25</t>
  </si>
  <si>
    <t>3.13</t>
  </si>
  <si>
    <t>7.05</t>
  </si>
  <si>
    <t>29.77</t>
  </si>
  <si>
    <t>53.98</t>
  </si>
  <si>
    <t>24.4</t>
  </si>
  <si>
    <t>&lt;0.0113</t>
  </si>
  <si>
    <t>&lt;0.015</t>
  </si>
  <si>
    <t>7.27</t>
  </si>
  <si>
    <t>17.03</t>
  </si>
  <si>
    <t>&lt;0.01</t>
  </si>
  <si>
    <t>4.37</t>
  </si>
  <si>
    <t>&lt;25.00</t>
  </si>
  <si>
    <t>0.32</t>
  </si>
  <si>
    <t>7.86</t>
  </si>
  <si>
    <t>3.98</t>
  </si>
  <si>
    <t>&lt;2.00</t>
  </si>
  <si>
    <t>0.57</t>
  </si>
  <si>
    <t>8.70</t>
  </si>
  <si>
    <t>19.3</t>
  </si>
  <si>
    <t>&lt;0.7</t>
  </si>
  <si>
    <t>18.76</t>
  </si>
  <si>
    <t>18.15</t>
  </si>
  <si>
    <t>99.75</t>
  </si>
  <si>
    <t>12.3</t>
  </si>
  <si>
    <t>0.1570</t>
  </si>
  <si>
    <t>7.31</t>
  </si>
  <si>
    <t>17.4</t>
  </si>
  <si>
    <t>&lt;0.1</t>
  </si>
  <si>
    <t>10.42</t>
  </si>
  <si>
    <t>3.60</t>
  </si>
  <si>
    <t>&lt;25</t>
  </si>
  <si>
    <t>&lt;0.30</t>
  </si>
  <si>
    <t>12.6</t>
  </si>
  <si>
    <t>&lt;2.0</t>
  </si>
  <si>
    <t>META RES 631/2015</t>
  </si>
  <si>
    <t>6,00 - 9,00</t>
  </si>
  <si>
    <t>N.E</t>
  </si>
  <si>
    <t>Analisis y Reporte</t>
  </si>
  <si>
    <t>90.00</t>
  </si>
  <si>
    <t>Vigencia</t>
  </si>
  <si>
    <t>Año 2019</t>
  </si>
  <si>
    <t>Año 2020</t>
  </si>
  <si>
    <t>Año 2021</t>
  </si>
  <si>
    <t>PH</t>
  </si>
  <si>
    <t>Cumple</t>
  </si>
  <si>
    <t>Si Cumple</t>
  </si>
  <si>
    <t>5363+Q58:R58</t>
  </si>
  <si>
    <t>Indicador x parametro</t>
  </si>
  <si>
    <t>Parametros Cumplidos</t>
  </si>
  <si>
    <t>Meta (1 Parametro Incumplido como Max)</t>
  </si>
  <si>
    <t xml:space="preserve">    % de cumplimiento sea ≥ 96%         (1 Accidente leve al año)</t>
  </si>
  <si>
    <t xml:space="preserve">  ≥ 96,67 %  (máx 1 día perdidos al mes por incapacidad )</t>
  </si>
  <si>
    <t>96,67 %  (máx 1 día perdido al mes)</t>
  </si>
  <si>
    <t>Identificar los peligros evaluar y valorar los riesgos y establecer los controles</t>
  </si>
  <si>
    <t>Cumplimiento por objetivo de gestion integral</t>
  </si>
  <si>
    <t>Eficacia de objetivos de gestion integral</t>
  </si>
  <si>
    <t>% Cumplimiento</t>
  </si>
  <si>
    <t>Fecha Actualizacion</t>
  </si>
  <si>
    <t>PORCENTAJE DE EJECUCIÓN</t>
  </si>
  <si>
    <t>CUMPLIMIENTO POR INDICADORES</t>
  </si>
  <si>
    <t>Administrativo</t>
  </si>
  <si>
    <t>Comercial</t>
  </si>
  <si>
    <t>Contabilidad</t>
  </si>
  <si>
    <t>Fontaneria</t>
  </si>
  <si>
    <t>Operativa Potable</t>
  </si>
  <si>
    <t>Operativa Residual</t>
  </si>
  <si>
    <t>Eficacia Gral</t>
  </si>
  <si>
    <t>Eficacia Capacitaciones (%)</t>
  </si>
  <si>
    <t>Indicador Anual</t>
  </si>
  <si>
    <t>Total Accidentes Año</t>
  </si>
  <si>
    <t>Total Año</t>
  </si>
  <si>
    <t>Indicador Anual de Indice De Fecuencia</t>
  </si>
  <si>
    <t>No se radico ninguna PQR con respecto al servicio de alcantarillado</t>
  </si>
  <si>
    <t>Se evidencia el cumplimiento de la Meta.</t>
  </si>
  <si>
    <t xml:space="preserve">Se efectuaron actividades de gestion de cartera, visitas de campo y control de financiaciones,  </t>
  </si>
  <si>
    <t>Se tomaron mediciones de presión en los seis puntos concertados, obteniendo valores intermedio dentro del rango indicado en res 0330</t>
  </si>
  <si>
    <t>Continuar con el monitoreo de presión en red de distribución y el reporte de novedades</t>
  </si>
  <si>
    <t xml:space="preserve">Se continuó con la toma de presión y se encontraron valores promedio frente a norma RAS </t>
  </si>
  <si>
    <t>Continuar con la labor de verificación permanente de fraudes, acometidas clandestinas, fugas y demás acciones que permitan encontrar agua no contabilizada.</t>
  </si>
  <si>
    <t>El volúmen de agua captada, producida, suministrada y facturada, conservan valores estables con respecto a vigencias anteriores, ubicando el IANC en 11% , valor bajo dentro del promedio</t>
  </si>
  <si>
    <t>El volúmen de agua captada, producida, suministrada y facturada, conservan valores estables con respecto a vigencias anteriores, ubicando el IANC en 12% , valor bajo dentro del promedio</t>
  </si>
  <si>
    <t>Durante esta vigencia, no se realizaron suspensiones del servicio</t>
  </si>
  <si>
    <t>No requiere acciones</t>
  </si>
  <si>
    <t>Durante esta vigencia, no se presentaron valores de los parámetros monitoreados por encima de los rangos máximos indicados, por lo que debemos continuar produciendo agua de la mejor calidad junto con el cumplimiento estricto en la ejecusión de los procesos</t>
  </si>
  <si>
    <t>Continuar con la correcta operación de los sistemas de tratamiento, almacenamiento y distribución de agua potable</t>
  </si>
  <si>
    <t>El oxígeno disuelto y lodos sedimentables, nos permiten confirmar la buena operación de la planta y el buen fucncionamiento del proceso</t>
  </si>
  <si>
    <t>Durante esta vigencia se dio cumplimiento a los parámetros medidos, presentando valores inferiores a los máximos descritos, traduciendose en estabilidad y calidad del agua tratada y vertida</t>
  </si>
  <si>
    <t>Se continuó con el buen manejo de los procesos en planta de tratamiento, manteniendo valores adecuados dentro del rango</t>
  </si>
  <si>
    <t>Para esta vigencia, se diò cumplimiento a los 22 paràmetros del IRCA mencionados en la resoluciòn 2115 de 2007, reportando valores inferiores a los lìmites màximos permitidos reportando una calificaciòn "Sin riesgo"</t>
  </si>
  <si>
    <t>Continuar con el monitoreo permanente en procesos de potabilizaciòn y calidad, asegurando la calidad en la prestaciòn del servicio</t>
  </si>
  <si>
    <t>Para esta vigencia, se diò cumplimiento a los 22 paràmetros del IRCA mencionados en la resoluciòn 2115 de 2007 para la primera muestra del mes, reportando valores inferiores a los lìmites màximos permitidos reportando una calificaciòn "Sin riesgo", Està pendiente entrega del resultado del segundo monitoreo de agua potable para completar la informaciòn mensual de abril</t>
  </si>
  <si>
    <t>El proceso de tratamiento de agua potable cumple con la resolución 2115 de 2007 de manera completa, logrando prestar un servicio de calidad</t>
  </si>
  <si>
    <t xml:space="preserve">No requiere acciones </t>
  </si>
  <si>
    <t xml:space="preserve">Para el primer trimestre del año se dio cumplimiento normativo </t>
  </si>
  <si>
    <t xml:space="preserve">Se debe realizar actuaizacion normativa por todas las areas para el mes de junio </t>
  </si>
  <si>
    <t xml:space="preserve">No se presentaron accidentes durante el mes </t>
  </si>
  <si>
    <t xml:space="preserve">MES </t>
  </si>
  <si>
    <t>Se presentaron 81 dias de incapacidad por EG diferentes diagnosticos y areas</t>
  </si>
  <si>
    <t>Se presentaron 60 dias de incapacidad por EG diferentes diagnosticos y areas</t>
  </si>
  <si>
    <t>Se presentaron 34 dias de incapacidad por EG diferentes diagnosticos y areas</t>
  </si>
  <si>
    <t>Se presentaron 13 dias de incapacidad por EG diferentes diagnosticos y areas</t>
  </si>
  <si>
    <t xml:space="preserve">No se presentaron inccidentes durante el mes </t>
  </si>
  <si>
    <t xml:space="preserve">Seguimiento a los trabajadores </t>
  </si>
  <si>
    <t>Cambio de sede para el señor Orlando Mendez para mejorar su recuperacion de PTAR a PTAP y pueda continuar con sus terapias.</t>
  </si>
  <si>
    <t xml:space="preserve">No se tiene diagnostico de enfermedad laboral </t>
  </si>
  <si>
    <t>NUMERO DE CASOS NUEVOS DE EF</t>
  </si>
  <si>
    <t>PROMEDIO DE TRABAJADORES EN EL PERIODO  PERIODO</t>
  </si>
  <si>
    <t>NUMERO DE TRABAJADORES EN EL PERIODO</t>
  </si>
  <si>
    <t>Durante el primer trimestre en general los proveedores de la empresa presentaron buena calificacion en todos los aspectos manteniendo la calidad en sus suministros y servicios. 
Se tuvo problemas con el proveedor de servicios SAORI el cual ha incumplido con varios aspectos a nivel del servicio contrtado lo cual ha generado retraso en el cargue de la informacion a la plataforma .</t>
  </si>
  <si>
    <t xml:space="preserve">Se requiere cambiar el proveedor </t>
  </si>
  <si>
    <t>agosto</t>
  </si>
  <si>
    <t>septiembre</t>
  </si>
  <si>
    <t>octubre</t>
  </si>
  <si>
    <t>noviebre</t>
  </si>
  <si>
    <t xml:space="preserve">diciembre </t>
  </si>
  <si>
    <t>No radicaron ninguna PQR por el servicio de alcantarillado.</t>
  </si>
  <si>
    <t xml:space="preserve">Cumplimiento del programa de  capacitaciones </t>
  </si>
  <si>
    <t xml:space="preserve">Se realizaron todas las capacitaciones programadas </t>
  </si>
  <si>
    <t>Min 90%  (asistencia  del  90% de los convocados)</t>
  </si>
  <si>
    <t xml:space="preserve">El personal convocado asistio  a las capacitaciones programadas </t>
  </si>
  <si>
    <t xml:space="preserve">Se presento ausencia  del coordinador operativo al seminario de gestion de aguas residuales /Antioquia por temas de salud </t>
  </si>
  <si>
    <t xml:space="preserve">De los convocados a capacitacion del comité de convivencia faltaron 3 personas  por actividades del area </t>
  </si>
  <si>
    <t xml:space="preserve">Reprogramar capacitacion para personal faltante </t>
  </si>
  <si>
    <t xml:space="preserve">Para el segundo trimestre del año se dio cumplimiento normativo </t>
  </si>
  <si>
    <t>Se debe realizar actuaizacion normativa por todas las areas para el mes de septiembre</t>
  </si>
  <si>
    <t>≥ 96,67 %  (máx 2 día perdidos )</t>
  </si>
  <si>
    <t>66.67 % (El ausentismo mensual no supere el 66.67 % en el periodo, equivalente a 10  dias )</t>
  </si>
  <si>
    <t>66.%</t>
  </si>
  <si>
    <t>Cumplimiento IRCA     (INDICE DE RIESGO DE LA CALIDAD DEL AGUA)</t>
  </si>
  <si>
    <t xml:space="preserve">PARAMETROS PTAR </t>
  </si>
  <si>
    <t xml:space="preserve">Parametros PTAR -Cantidad de parámetros incumplidos </t>
  </si>
  <si>
    <t xml:space="preserve">Cumplimiento Normativo </t>
  </si>
  <si>
    <t>Cumplimiento de la normatividad  de la empresa</t>
  </si>
  <si>
    <t xml:space="preserve">De los convocados a capacitacion del comité de convivencia faltaron 3  integrantes por certificado de capacitacion </t>
  </si>
  <si>
    <t xml:space="preserve">Mejorar la instruccional momento de la inscripcion y reprogramar </t>
  </si>
  <si>
    <t xml:space="preserve">Indice de Reclamaciones de los Usuarios Acueducto </t>
  </si>
  <si>
    <t xml:space="preserve">Indice de Reclamaciones de los usuarios Alcantarillado </t>
  </si>
  <si>
    <t xml:space="preserve">No se presentaron incapacidades </t>
  </si>
  <si>
    <t>Cambio de puesto de trabajo a la señora Berley Reyes para que pueda tener buena recuperacion y asistir a sus citas de control Sse retira de atencion al usuario y en remplazo se contrata a la señorita Geraldine Lara. Se realiza seguimiento al trabajador.</t>
  </si>
  <si>
    <t xml:space="preserve">
La EAA DE SANTA ANA ESP S.A, está orientada a la gestión integral del servicio de acueducto y alcantarillado, comprometida con el cumplimiento de los requisitos legales, la calidad en la prestación del servicio y satisfacción de los usuarios de Quintas de Santa Ana, comprometida con la mejora continua de sus procesos, la identificación evaluación y valoración de los riesgos en sus actividades, el cuidado, competencia y bienestar de sus colaboradores y contratistas, el cuidado del medio ambiente y la mejora continua de su SGC.
</t>
  </si>
  <si>
    <t xml:space="preserve">Cumplir con los parámetros de calidad </t>
  </si>
  <si>
    <t xml:space="preserve">Cumplimiento de requisitos legales </t>
  </si>
  <si>
    <t>Promover el bienestar, la salud y seguridad de sus trabajadores y contratista.</t>
  </si>
  <si>
    <t>Agosto 23 de 2022</t>
  </si>
  <si>
    <t>El volúmen de agua captada, producida, suministrada y facturada, conservan valores estables con respecto a vigencias anteriores, ubicando el IANC en 10% , valor bajo dentro del promedio</t>
  </si>
  <si>
    <t>Para el periodo de mayo, se realizó suspensión programada del servicio de acueducto, debido a trabajos de conexión de agua potable al proyecto Azure con una duración de 12 horas</t>
  </si>
  <si>
    <t>Para esta vigencia, se diò cumplimiento a los 22 paràmetros del IRCA mencionados en la resoluciòn 2115 de 2007 para la primera muestra del mes, reportando valores inferiores a los lìmites màximos permitidos reportando una calificaciòn "Sin riesgo", Està pendiente entrega del resultado del segundo monitoreo de agua potable para completar la informaciòn mensual de mayo</t>
  </si>
  <si>
    <t>Para esta vigencia, se diò cumplimiento a los 22 paràmetros del IRCA mencionados en la resoluciòn 2115 de 2007 para la primera muestra del mes, reportando valores inferiores a los lìmites màximos permitidos reportando una calificaciòn "Sin riesgo", Està pendiente entrega del resultado del segundo monitoreo de agua potable para completar la informaciòn mensual de junio</t>
  </si>
  <si>
    <t>Para esta vigencia, se diò cumplimiento a los 22 paràmetros del IRCA mencionados en la resoluciòn 2115 de 2007 para la primera muestra del mes, reportando valores inferiores a los lìmites màximos permitidos reportando una calificaciòn "Sin riesgo", Està pendiente entrega del resultado del segundo monitoreo de agua potable para completar la informaciòn mensual de julio</t>
  </si>
  <si>
    <t>96.76%</t>
  </si>
  <si>
    <t>TOTAL DE PERDIDAS TECNICAS (m3)</t>
  </si>
  <si>
    <t>NO TOCAR</t>
  </si>
  <si>
    <t>Cumplimiento IPUF</t>
  </si>
  <si>
    <t>Agua Suministrada – Agua Facturada</t>
  </si>
  <si>
    <t>Debe estar entre 10% y 12%</t>
  </si>
  <si>
    <t xml:space="preserve">Se espera que al menos el 88% del volúmen suministrado sea facturado. </t>
  </si>
  <si>
    <t>Cumplimiento IPUF    (Índice de Pérdidas por Suscriptor Facturado)</t>
  </si>
  <si>
    <t>Representa el volumen de pérdidas de agua por suscriptor, medido en metros cúbicos por suscriptor al mes (m3 /suscriptor/mes).</t>
  </si>
  <si>
    <t>IPUF</t>
  </si>
  <si>
    <t xml:space="preserve">Durante el segundo trimestre los proveedores presentaron en general buena calificacion. 
Se cambio la forma de evaluacion y calificacion de los proveedores. Se realiza reunion con todo el personal involucrado en el proceso. Gerencia. Compras, Contador y lideres de area y se evalua el desempeño.
Salen con baja calificacion Andina Pozos, consultores orienta. laboratorios y ensayos. </t>
  </si>
  <si>
    <t xml:space="preserve">Informar al proveedor Andina Pozos 
Buscar nuevos  y posibles proveedores </t>
  </si>
  <si>
    <t>Analizar el cumplimiento de las actividades programadas de capacitacion y SST</t>
  </si>
  <si>
    <t xml:space="preserve">De las capacitaciones programadas el personal de fontaneria no pudo asistir a la capacitacion de riesgo publico por actividades </t>
  </si>
  <si>
    <t xml:space="preserve">Requiere reprogramar  </t>
  </si>
  <si>
    <t xml:space="preserve">El personal de fontaneria no pudo tomar la capacitacion por actividades </t>
  </si>
  <si>
    <t>Requiere reprogramar la capacitacion</t>
  </si>
  <si>
    <t>Durante esta vigencia se realizó suspensión del servicio por 10 horas a 29 predios únicamente por ruptura en tuberpia de agua potable, para lo cual se realizó reparación y reinstalación del servicio con normalidad</t>
  </si>
  <si>
    <t>Para esta vigencia, el indice de pérdidas por usuario facturado (IPUF), se mantuvo muy superior a la meta mínima proyectada del 88%, obteniendo un resultado de 9,57% reportando una alta eficienciaen el control de pérdidas de agua por suscriptor</t>
  </si>
  <si>
    <t>Para esta vigencia, el indice de pérdidas por usuario facturado (IPUF), se mantuvo muy superior a la meta mínima proyectada del 88%, obteniendo un resultado de 9,82% reportando una alta eficienciaen el control de pérdidas de agua por suscriptor</t>
  </si>
  <si>
    <t>Para esta vigencia, el indice de pérdidas por usuario facturado (IPUF), se mantuvo muy superior a la meta mínima proyectada del 88%, obteniendo un resultado de 9,09% reportando una alta eficienciaen el control de pérdidas de agua por suscriptor</t>
  </si>
  <si>
    <t>Para esta vigencia, el indice de pérdidas por usuario facturado (IPUF), se mantuvo muy superior a la meta mínima proyectada del 88%, obteniendo un resultado de 8,21% reportando una alta eficienciaen el control de pérdidas de agua por suscriptor</t>
  </si>
  <si>
    <t>Para esta vigencia, el indice de pérdidas por usuario facturado (IPUF), se mantuvo muy superior a la meta mínima proyectada del 88%, obteniendo un resultado de 8,23% reportando una alta eficienciaen el control de pérdidas de agua por suscriptor</t>
  </si>
  <si>
    <t>Para esta vigencia, el indice de pérdidas por usuario facturado (IPUF), se mantuvo muy superior a la meta mínima proyectada del 88%, obteniendo un resultado de 8,34% reportando una alta eficienciaen el control de pérdidas de agua por suscriptor</t>
  </si>
  <si>
    <t>Para esta vigencia, el indice de pérdidas por usuario facturado (IPUF), se mantuvo muy superior a la meta mínima proyectada del 88%, obteniendo un resultado de 7,65% reportando una alta eficienciaen el control de pérdidas de agua por suscriptor</t>
  </si>
  <si>
    <t>Para esta vigencia, el indice de pérdidas por usuario facturado (IPUF), se mantuvo muy superior a la meta mínima proyectada del 88%, obteniendo un resultado de 7,76% reportando una alta eficienciaen el control de pérdidas de agua por suscriptor</t>
  </si>
  <si>
    <t>Para esta vigencia, el indice de pérdidas por usuario facturado (IPUF), se mantuvo muy superior a la meta mínima proyectada del 88%, obteniendo un resultado de 8,57% reportando una alta eficienciaen el control de pérdidas de agua por suscriptor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</si>
</sst>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6" formatCode="&quot;$&quot;\ #,##0;[Red]\-&quot;$&quot;\ #,##0"/>
    <numFmt numFmtId="42" formatCode="_-&quot;$&quot;\ * #,##0_-;\-&quot;$&quot;\ * #,##0_-;_-&quot;$&quot;\ * &quot;-&quot;_-;_-@_-"/>
    <numFmt numFmtId="41" formatCode="_-* #,##0_-;\-* #,##0_-;_-* &quot;-&quot;_-;_-@_-"/>
    <numFmt numFmtId="43" formatCode="_-* #,##0.00_-;\-* #,##0.00_-;_-* &quot;-&quot;??_-;_-@_-"/>
    <numFmt numFmtId="164" formatCode="_-&quot;$&quot;* #,##0.00_-;\-&quot;$&quot;* #,##0.00_-;_-&quot;$&quot;* &quot;-&quot;??_-;_-@_-"/>
    <numFmt numFmtId="165" formatCode="_-* #,##0.0_-;\-* #,##0.0_-;_-* &quot;-&quot;_-;_-@_-"/>
    <numFmt numFmtId="166" formatCode="0.0%"/>
    <numFmt numFmtId="167" formatCode="_-* #,##0.00_-;\-* #,##0.00_-;_-* &quot;-&quot;_-;_-@_-"/>
    <numFmt numFmtId="168" formatCode="_-* #,##0.000_-;\-* #,##0.000_-;_-* &quot;-&quot;_-;_-@_-"/>
    <numFmt numFmtId="169" formatCode="0.000"/>
    <numFmt numFmtId="170" formatCode="_-* #,##0.0000_-;\-* #,##0.0000_-;_-* &quot;-&quot;_-;_-@_-"/>
    <numFmt numFmtId="171" formatCode="0.0"/>
    <numFmt numFmtId="172" formatCode="_-&quot;$&quot;* #,##0_-;\-&quot;$&quot;* #,##0_-;_-&quot;$&quot;* &quot;-&quot;??_-;_-@_-"/>
    <numFmt numFmtId="173" formatCode="_-* #,##0_-;\-* #,##0_-;_-* &quot;-&quot;??_-;_-@_-"/>
    <numFmt numFmtId="174" formatCode="0.000%"/>
    <numFmt numFmtId="175" formatCode="[$-C0A]dd\-mmm\-yy;@"/>
    <numFmt numFmtId="176" formatCode="0.0000%"/>
    <numFmt numFmtId="177" formatCode="0.0000"/>
  </numFmts>
  <fonts count="58">
    <font>
      <sz val="11"/>
      <color theme="1"/>
      <name val="Calibri"/>
      <family val="2"/>
      <scheme val="minor"/>
    </font>
    <font>
      <sz val="11"/>
      <color theme="1"/>
      <name val="Arial Narrow"/>
      <family val="2"/>
    </font>
    <font>
      <u/>
      <sz val="11"/>
      <color theme="1"/>
      <name val="Arial Narrow"/>
      <family val="2"/>
    </font>
    <font>
      <b/>
      <sz val="11"/>
      <color theme="1"/>
      <name val="Arial Narrow"/>
      <family val="2"/>
    </font>
    <font>
      <sz val="11"/>
      <name val="Arial Narrow"/>
      <family val="2"/>
    </font>
    <font>
      <sz val="11"/>
      <color theme="1"/>
      <name val="Calibri"/>
      <family val="2"/>
      <scheme val="minor"/>
    </font>
    <font>
      <b/>
      <sz val="11"/>
      <color theme="1"/>
      <name val="Calibri"/>
      <family val="2"/>
      <scheme val="minor"/>
    </font>
    <font>
      <b/>
      <sz val="18"/>
      <name val="Arial Narrow"/>
      <family val="2"/>
    </font>
    <font>
      <b/>
      <sz val="9"/>
      <color indexed="81"/>
      <name val="Tahoma"/>
      <family val="2"/>
    </font>
    <font>
      <sz val="9"/>
      <color indexed="81"/>
      <name val="Tahoma"/>
      <family val="2"/>
    </font>
    <font>
      <b/>
      <sz val="14"/>
      <color theme="4"/>
      <name val="Calibri"/>
      <family val="2"/>
      <scheme val="minor"/>
    </font>
    <font>
      <sz val="11"/>
      <color theme="1"/>
      <name val="Symbol"/>
      <family val="1"/>
      <charset val="2"/>
    </font>
    <font>
      <sz val="11"/>
      <color theme="1"/>
      <name val="Calibri"/>
      <family val="1"/>
      <charset val="2"/>
      <scheme val="minor"/>
    </font>
    <font>
      <sz val="11"/>
      <color theme="1"/>
      <name val="Arial"/>
      <family val="2"/>
    </font>
    <font>
      <u/>
      <sz val="11"/>
      <color theme="10"/>
      <name val="Calibri"/>
      <family val="2"/>
      <scheme val="minor"/>
    </font>
    <font>
      <u/>
      <sz val="11"/>
      <color theme="0"/>
      <name val="Calibri"/>
      <family val="2"/>
      <scheme val="minor"/>
    </font>
    <font>
      <b/>
      <sz val="10"/>
      <color theme="1"/>
      <name val="Arial Narrow"/>
      <family val="2"/>
    </font>
    <font>
      <u/>
      <sz val="11"/>
      <color theme="1"/>
      <name val="Calibri"/>
      <family val="2"/>
      <scheme val="minor"/>
    </font>
    <font>
      <u/>
      <sz val="11"/>
      <name val="Calibri"/>
      <family val="2"/>
      <scheme val="minor"/>
    </font>
    <font>
      <b/>
      <sz val="11"/>
      <color theme="0"/>
      <name val="Calibri"/>
      <family val="2"/>
      <scheme val="minor"/>
    </font>
    <font>
      <b/>
      <sz val="11"/>
      <name val="Calibri"/>
      <family val="2"/>
      <scheme val="minor"/>
    </font>
    <font>
      <sz val="10"/>
      <color theme="1"/>
      <name val="Arial Narrow"/>
      <family val="2"/>
    </font>
    <font>
      <sz val="11"/>
      <name val="Calibri"/>
      <family val="2"/>
      <scheme val="minor"/>
    </font>
    <font>
      <b/>
      <i/>
      <u/>
      <sz val="11"/>
      <color theme="1"/>
      <name val="Arial Narrow"/>
      <family val="2"/>
    </font>
    <font>
      <b/>
      <sz val="14"/>
      <color theme="1"/>
      <name val="Arial Narrow"/>
      <family val="2"/>
    </font>
    <font>
      <sz val="9"/>
      <color theme="1"/>
      <name val="Arial Narrow"/>
      <family val="2"/>
    </font>
    <font>
      <b/>
      <sz val="9"/>
      <name val="HandelGotDLig"/>
      <family val="2"/>
    </font>
    <font>
      <b/>
      <sz val="8"/>
      <name val="HandelGotDLig"/>
      <family val="2"/>
    </font>
    <font>
      <sz val="10"/>
      <name val="HandelGotDLig"/>
      <family val="2"/>
    </font>
    <font>
      <sz val="9"/>
      <name val="Arial"/>
      <family val="2"/>
    </font>
    <font>
      <b/>
      <sz val="11"/>
      <color theme="0"/>
      <name val="Arial Narrow"/>
      <family val="2"/>
    </font>
    <font>
      <sz val="9"/>
      <name val="HandelGotDLig"/>
    </font>
    <font>
      <sz val="11"/>
      <color theme="0"/>
      <name val="Arial Narrow"/>
      <family val="2"/>
    </font>
    <font>
      <b/>
      <sz val="10"/>
      <name val="HandelGotDLig"/>
      <family val="2"/>
    </font>
    <font>
      <sz val="10"/>
      <name val="HandelGotDLig"/>
    </font>
    <font>
      <sz val="10"/>
      <name val="Arial"/>
      <family val="2"/>
    </font>
    <font>
      <sz val="11"/>
      <color theme="1"/>
      <name val="Arial Narrow"/>
      <family val="2"/>
    </font>
    <font>
      <b/>
      <sz val="12"/>
      <color theme="1"/>
      <name val="Arial Narrow"/>
      <family val="2"/>
    </font>
    <font>
      <sz val="11"/>
      <color rgb="FFFF0000"/>
      <name val="Arial Narrow"/>
      <family val="2"/>
    </font>
    <font>
      <sz val="10"/>
      <color theme="1"/>
      <name val="Arial Nova"/>
      <family val="2"/>
    </font>
    <font>
      <b/>
      <sz val="10"/>
      <color theme="1"/>
      <name val="Arial Nova"/>
      <family val="2"/>
    </font>
    <font>
      <sz val="11"/>
      <color theme="1"/>
      <name val="Arial Nova"/>
      <family val="2"/>
    </font>
    <font>
      <b/>
      <sz val="11"/>
      <color theme="1"/>
      <name val="Arial Nova"/>
      <family val="2"/>
    </font>
    <font>
      <b/>
      <sz val="8"/>
      <name val="Arial Nova"/>
      <family val="2"/>
    </font>
    <font>
      <sz val="10"/>
      <name val="Arial Nova"/>
      <family val="2"/>
    </font>
    <font>
      <b/>
      <sz val="10"/>
      <name val="Arial Nova"/>
      <family val="2"/>
    </font>
    <font>
      <sz val="9"/>
      <color theme="1"/>
      <name val="Arial Nova"/>
      <family val="2"/>
    </font>
    <font>
      <b/>
      <sz val="9"/>
      <color theme="1"/>
      <name val="Arial Nova"/>
      <family val="2"/>
    </font>
    <font>
      <sz val="8"/>
      <name val="Arial Nova"/>
      <family val="2"/>
    </font>
    <font>
      <sz val="10"/>
      <color theme="0"/>
      <name val="Arial Nova"/>
      <family val="2"/>
    </font>
    <font>
      <b/>
      <sz val="11"/>
      <color theme="0"/>
      <name val="Arial Nova"/>
      <family val="2"/>
    </font>
    <font>
      <b/>
      <u/>
      <sz val="11"/>
      <color theme="1"/>
      <name val="Arial Narrow"/>
      <family val="2"/>
    </font>
    <font>
      <sz val="9"/>
      <color theme="1"/>
      <name val="Calibri"/>
      <family val="2"/>
      <scheme val="minor"/>
    </font>
    <font>
      <b/>
      <sz val="9"/>
      <name val="Arial"/>
      <family val="2"/>
    </font>
    <font>
      <b/>
      <sz val="9"/>
      <color theme="1"/>
      <name val="Calibri"/>
      <family val="2"/>
      <scheme val="minor"/>
    </font>
    <font>
      <sz val="9"/>
      <color theme="1"/>
      <name val="Arial"/>
      <family val="2"/>
    </font>
    <font>
      <b/>
      <sz val="12"/>
      <name val="Arial"/>
      <family val="2"/>
    </font>
    <font>
      <b/>
      <sz val="20"/>
      <color theme="1"/>
      <name val="Arial Narrow"/>
      <family val="2"/>
    </font>
  </fonts>
  <fills count="37">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rgb="FFFFC000"/>
        <bgColor indexed="64"/>
      </patternFill>
    </fill>
    <fill>
      <patternFill patternType="solid">
        <fgColor rgb="FFDDDDDD"/>
        <bgColor indexed="64"/>
      </patternFill>
    </fill>
    <fill>
      <patternFill patternType="solid">
        <fgColor rgb="FFCCFFCC"/>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2" tint="-9.9978637043366805E-2"/>
        <bgColor indexed="64"/>
      </patternFill>
    </fill>
    <fill>
      <patternFill patternType="solid">
        <fgColor rgb="FFFF0000"/>
        <bgColor indexed="64"/>
      </patternFill>
    </fill>
    <fill>
      <patternFill patternType="solid">
        <fgColor rgb="FF00B0F0"/>
        <bgColor indexed="64"/>
      </patternFill>
    </fill>
    <fill>
      <patternFill patternType="solid">
        <fgColor rgb="FFFFFF00"/>
        <bgColor indexed="64"/>
      </patternFill>
    </fill>
    <fill>
      <patternFill patternType="solid">
        <fgColor theme="4" tint="0.59999389629810485"/>
        <bgColor indexed="64"/>
      </patternFill>
    </fill>
    <fill>
      <patternFill patternType="solid">
        <fgColor rgb="FFDCE6F1"/>
        <bgColor rgb="FF000000"/>
      </patternFill>
    </fill>
    <fill>
      <patternFill patternType="solid">
        <fgColor rgb="FFFFFFFF"/>
        <bgColor rgb="FF000000"/>
      </patternFill>
    </fill>
    <fill>
      <patternFill patternType="solid">
        <fgColor rgb="FFECFA6C"/>
        <bgColor indexed="64"/>
      </patternFill>
    </fill>
    <fill>
      <patternFill patternType="solid">
        <fgColor rgb="FF0070C0"/>
        <bgColor indexed="64"/>
      </patternFill>
    </fill>
    <fill>
      <patternFill patternType="solid">
        <fgColor theme="4" tint="0.79998168889431442"/>
        <bgColor indexed="64"/>
      </patternFill>
    </fill>
    <fill>
      <patternFill patternType="solid">
        <fgColor indexed="9"/>
        <bgColor indexed="64"/>
      </patternFill>
    </fill>
    <fill>
      <patternFill patternType="solid">
        <fgColor theme="4" tint="-0.249977111117893"/>
        <bgColor indexed="64"/>
      </patternFill>
    </fill>
    <fill>
      <patternFill patternType="solid">
        <fgColor theme="8" tint="0.59999389629810485"/>
        <bgColor indexed="64"/>
      </patternFill>
    </fill>
    <fill>
      <patternFill patternType="solid">
        <fgColor rgb="FFCCFF99"/>
        <bgColor indexed="64"/>
      </patternFill>
    </fill>
    <fill>
      <patternFill patternType="solid">
        <fgColor theme="3" tint="0.79998168889431442"/>
        <bgColor indexed="64"/>
      </patternFill>
    </fill>
    <fill>
      <patternFill patternType="solid">
        <fgColor rgb="FF92D050"/>
        <bgColor indexed="64"/>
      </patternFill>
    </fill>
    <fill>
      <patternFill patternType="solid">
        <fgColor theme="5" tint="0.39997558519241921"/>
        <bgColor indexed="64"/>
      </patternFill>
    </fill>
    <fill>
      <patternFill patternType="solid">
        <fgColor theme="8" tint="0.39997558519241921"/>
        <bgColor indexed="64"/>
      </patternFill>
    </fill>
    <fill>
      <patternFill patternType="solid">
        <fgColor rgb="FF002060"/>
        <bgColor indexed="64"/>
      </patternFill>
    </fill>
    <fill>
      <patternFill patternType="solid">
        <fgColor rgb="FFFFCCCC"/>
        <bgColor rgb="FF000000"/>
      </patternFill>
    </fill>
    <fill>
      <patternFill patternType="solid">
        <fgColor rgb="FFFFCCCC"/>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8DD9EB"/>
        <bgColor indexed="64"/>
      </patternFill>
    </fill>
    <fill>
      <patternFill patternType="solid">
        <fgColor rgb="FF7030A0"/>
        <bgColor indexed="64"/>
      </patternFill>
    </fill>
    <fill>
      <patternFill patternType="solid">
        <fgColor theme="8"/>
        <bgColor indexed="64"/>
      </patternFill>
    </fill>
    <fill>
      <patternFill patternType="solid">
        <fgColor rgb="FFFFFFCC"/>
        <bgColor indexed="64"/>
      </patternFill>
    </fill>
    <fill>
      <patternFill patternType="solid">
        <fgColor theme="9" tint="0.39997558519241921"/>
        <bgColor indexed="64"/>
      </patternFill>
    </fill>
  </fills>
  <borders count="8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style="thin">
        <color auto="1"/>
      </right>
      <top/>
      <bottom style="hair">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hair">
        <color auto="1"/>
      </bottom>
      <diagonal/>
    </border>
    <border>
      <left/>
      <right/>
      <top style="hair">
        <color auto="1"/>
      </top>
      <bottom style="hair">
        <color auto="1"/>
      </bottom>
      <diagonal/>
    </border>
    <border>
      <left/>
      <right/>
      <top style="hair">
        <color indexed="64"/>
      </top>
      <bottom style="thin">
        <color indexed="64"/>
      </bottom>
      <diagonal/>
    </border>
    <border>
      <left style="hair">
        <color indexed="64"/>
      </left>
      <right/>
      <top style="thin">
        <color indexed="64"/>
      </top>
      <bottom style="hair">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auto="1"/>
      </top>
      <bottom style="hair">
        <color auto="1"/>
      </bottom>
      <diagonal/>
    </border>
    <border>
      <left style="thin">
        <color indexed="64"/>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auto="1"/>
      </left>
      <right style="hair">
        <color auto="1"/>
      </right>
      <top style="thin">
        <color auto="1"/>
      </top>
      <bottom style="thin">
        <color auto="1"/>
      </bottom>
      <diagonal/>
    </border>
    <border>
      <left style="thin">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hair">
        <color auto="1"/>
      </left>
      <right style="thin">
        <color auto="1"/>
      </right>
      <top style="hair">
        <color auto="1"/>
      </top>
      <bottom style="thin">
        <color auto="1"/>
      </bottom>
      <diagonal/>
    </border>
    <border>
      <left style="hair">
        <color auto="1"/>
      </left>
      <right style="thin">
        <color auto="1"/>
      </right>
      <top style="hair">
        <color auto="1"/>
      </top>
      <bottom style="hair">
        <color auto="1"/>
      </bottom>
      <diagonal/>
    </border>
    <border>
      <left style="thin">
        <color auto="1"/>
      </left>
      <right style="thin">
        <color auto="1"/>
      </right>
      <top style="hair">
        <color auto="1"/>
      </top>
      <bottom/>
      <diagonal/>
    </border>
    <border>
      <left style="hair">
        <color indexed="64"/>
      </left>
      <right/>
      <top style="hair">
        <color indexed="64"/>
      </top>
      <bottom style="thin">
        <color indexed="64"/>
      </bottom>
      <diagonal/>
    </border>
    <border>
      <left style="hair">
        <color indexed="64"/>
      </left>
      <right/>
      <top/>
      <bottom style="hair">
        <color auto="1"/>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auto="1"/>
      </left>
      <right/>
      <top style="thin">
        <color auto="1"/>
      </top>
      <bottom style="hair">
        <color auto="1"/>
      </bottom>
      <diagonal/>
    </border>
    <border>
      <left/>
      <right/>
      <top style="thin">
        <color indexed="64"/>
      </top>
      <bottom style="hair">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right/>
      <top style="hair">
        <color indexed="64"/>
      </top>
      <bottom/>
      <diagonal/>
    </border>
    <border>
      <left/>
      <right style="thin">
        <color indexed="64"/>
      </right>
      <top style="thin">
        <color indexed="64"/>
      </top>
      <bottom style="hair">
        <color indexed="64"/>
      </bottom>
      <diagonal/>
    </border>
    <border>
      <left style="hair">
        <color indexed="64"/>
      </left>
      <right/>
      <top/>
      <bottom style="thin">
        <color indexed="64"/>
      </bottom>
      <diagonal/>
    </border>
    <border>
      <left style="thin">
        <color indexed="64"/>
      </left>
      <right style="hair">
        <color indexed="64"/>
      </right>
      <top style="hair">
        <color indexed="64"/>
      </top>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style="thin">
        <color indexed="64"/>
      </bottom>
      <diagonal/>
    </border>
    <border>
      <left style="thin">
        <color auto="1"/>
      </left>
      <right/>
      <top style="hair">
        <color indexed="64"/>
      </top>
      <bottom/>
      <diagonal/>
    </border>
    <border>
      <left/>
      <right style="hair">
        <color indexed="64"/>
      </right>
      <top/>
      <bottom/>
      <diagonal/>
    </border>
    <border>
      <left style="medium">
        <color indexed="64"/>
      </left>
      <right style="thin">
        <color auto="1"/>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hair">
        <color indexed="64"/>
      </left>
      <right style="hair">
        <color indexed="64"/>
      </right>
      <top style="hair">
        <color indexed="64"/>
      </top>
      <bottom/>
      <diagonal/>
    </border>
    <border>
      <left style="medium">
        <color indexed="64"/>
      </left>
      <right style="medium">
        <color indexed="64"/>
      </right>
      <top style="medium">
        <color indexed="64"/>
      </top>
      <bottom style="medium">
        <color indexed="64"/>
      </bottom>
      <diagonal/>
    </border>
    <border>
      <left/>
      <right style="hair">
        <color indexed="64"/>
      </right>
      <top/>
      <bottom style="hair">
        <color indexed="64"/>
      </bottom>
      <diagonal/>
    </border>
    <border>
      <left style="thin">
        <color indexed="64"/>
      </left>
      <right/>
      <top style="medium">
        <color indexed="64"/>
      </top>
      <bottom/>
      <diagonal/>
    </border>
    <border>
      <left/>
      <right style="thin">
        <color indexed="64"/>
      </right>
      <top style="medium">
        <color indexed="64"/>
      </top>
      <bottom/>
      <diagonal/>
    </border>
  </borders>
  <cellStyleXfs count="81">
    <xf numFmtId="0" fontId="0" fillId="0" borderId="0"/>
    <xf numFmtId="41" fontId="5" fillId="0" borderId="0" applyFont="0" applyFill="0" applyBorder="0" applyAlignment="0" applyProtection="0"/>
    <xf numFmtId="9"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0" fontId="14" fillId="0" borderId="0" applyNumberForma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64"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164"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0" fontId="35" fillId="0" borderId="0"/>
    <xf numFmtId="42"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164"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1" fontId="5" fillId="0" borderId="0" applyFont="0" applyFill="0" applyBorder="0" applyAlignment="0" applyProtection="0"/>
    <xf numFmtId="41"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2"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cellStyleXfs>
  <cellXfs count="1108">
    <xf numFmtId="0" fontId="0" fillId="0" borderId="0" xfId="0"/>
    <xf numFmtId="0" fontId="1" fillId="0" borderId="0" xfId="0" applyFont="1" applyAlignment="1">
      <alignment vertical="top"/>
    </xf>
    <xf numFmtId="0" fontId="1" fillId="0" borderId="0" xfId="0" applyFont="1" applyAlignment="1">
      <alignment vertical="top" wrapText="1"/>
    </xf>
    <xf numFmtId="0" fontId="3" fillId="0" borderId="0" xfId="0" applyFont="1" applyAlignment="1">
      <alignment horizontal="center" vertical="top"/>
    </xf>
    <xf numFmtId="0" fontId="1" fillId="2" borderId="0" xfId="0" applyFont="1" applyFill="1"/>
    <xf numFmtId="0" fontId="1" fillId="2" borderId="0" xfId="0" applyFont="1" applyFill="1" applyAlignment="1">
      <alignment vertical="top"/>
    </xf>
    <xf numFmtId="0" fontId="1" fillId="2" borderId="0" xfId="0" applyFont="1" applyFill="1" applyAlignment="1">
      <alignment horizontal="right"/>
    </xf>
    <xf numFmtId="0" fontId="1" fillId="2" borderId="0" xfId="0" applyFont="1" applyFill="1" applyAlignment="1" applyProtection="1">
      <alignment horizontal="right"/>
      <protection locked="0"/>
    </xf>
    <xf numFmtId="0" fontId="1" fillId="2" borderId="17" xfId="0" applyFont="1" applyFill="1" applyBorder="1" applyAlignment="1">
      <alignment vertical="top"/>
    </xf>
    <xf numFmtId="0" fontId="1" fillId="2" borderId="17" xfId="0" applyFont="1" applyFill="1" applyBorder="1" applyAlignment="1" applyProtection="1">
      <alignment vertical="top"/>
      <protection locked="0"/>
    </xf>
    <xf numFmtId="0" fontId="1" fillId="2" borderId="1" xfId="0" applyFont="1" applyFill="1" applyBorder="1" applyAlignment="1">
      <alignment vertical="top"/>
    </xf>
    <xf numFmtId="0" fontId="1" fillId="2" borderId="1" xfId="0" applyFont="1" applyFill="1" applyBorder="1" applyProtection="1">
      <protection locked="0"/>
    </xf>
    <xf numFmtId="0" fontId="1" fillId="2" borderId="22" xfId="0" applyFont="1" applyFill="1" applyBorder="1" applyProtection="1">
      <protection locked="0"/>
    </xf>
    <xf numFmtId="0" fontId="1" fillId="2" borderId="23" xfId="0" applyFont="1" applyFill="1" applyBorder="1" applyAlignment="1">
      <alignment vertical="top"/>
    </xf>
    <xf numFmtId="9" fontId="1" fillId="2" borderId="23" xfId="2" applyFont="1" applyFill="1" applyBorder="1" applyProtection="1">
      <protection locked="0"/>
    </xf>
    <xf numFmtId="0" fontId="1" fillId="2" borderId="10" xfId="0" applyFont="1" applyFill="1" applyBorder="1" applyAlignment="1" applyProtection="1">
      <alignment vertical="top"/>
      <protection locked="0"/>
    </xf>
    <xf numFmtId="0" fontId="1" fillId="2" borderId="24" xfId="0" applyFont="1" applyFill="1" applyBorder="1" applyAlignment="1" applyProtection="1">
      <alignment vertical="top"/>
      <protection locked="0"/>
    </xf>
    <xf numFmtId="0" fontId="1" fillId="2" borderId="24" xfId="0" applyFont="1" applyFill="1" applyBorder="1" applyProtection="1">
      <protection locked="0"/>
    </xf>
    <xf numFmtId="0" fontId="1" fillId="2" borderId="11" xfId="0" applyFont="1" applyFill="1" applyBorder="1" applyProtection="1">
      <protection locked="0"/>
    </xf>
    <xf numFmtId="0" fontId="1" fillId="2" borderId="0" xfId="0" applyFont="1" applyFill="1" applyProtection="1">
      <protection locked="0"/>
    </xf>
    <xf numFmtId="0" fontId="1" fillId="2" borderId="7" xfId="0" applyFont="1" applyFill="1" applyBorder="1" applyAlignment="1">
      <alignment vertical="top"/>
    </xf>
    <xf numFmtId="0" fontId="1" fillId="2" borderId="8" xfId="0" applyFont="1" applyFill="1" applyBorder="1" applyAlignment="1">
      <alignment vertical="top"/>
    </xf>
    <xf numFmtId="0" fontId="1" fillId="2" borderId="8" xfId="0" applyFont="1" applyFill="1" applyBorder="1"/>
    <xf numFmtId="0" fontId="1" fillId="2" borderId="7" xfId="0" applyFont="1" applyFill="1" applyBorder="1"/>
    <xf numFmtId="0" fontId="1" fillId="2" borderId="9" xfId="0" applyFont="1" applyFill="1" applyBorder="1"/>
    <xf numFmtId="0" fontId="3" fillId="2" borderId="25" xfId="0" applyFont="1" applyFill="1" applyBorder="1" applyAlignment="1">
      <alignment horizontal="right" vertical="top"/>
    </xf>
    <xf numFmtId="0" fontId="1" fillId="2" borderId="12" xfId="0" applyFont="1" applyFill="1" applyBorder="1"/>
    <xf numFmtId="0" fontId="1" fillId="2" borderId="13" xfId="0" applyFont="1" applyFill="1" applyBorder="1"/>
    <xf numFmtId="0" fontId="1" fillId="2" borderId="26" xfId="0" applyFont="1" applyFill="1" applyBorder="1" applyAlignment="1" applyProtection="1">
      <alignment horizontal="right" vertical="top"/>
      <protection locked="0"/>
    </xf>
    <xf numFmtId="0" fontId="1" fillId="2" borderId="17" xfId="0" applyFont="1" applyFill="1" applyBorder="1" applyProtection="1">
      <protection locked="0"/>
    </xf>
    <xf numFmtId="0" fontId="1" fillId="2" borderId="27" xfId="0" applyFont="1" applyFill="1" applyBorder="1" applyProtection="1">
      <protection locked="0"/>
    </xf>
    <xf numFmtId="0" fontId="1" fillId="2" borderId="28" xfId="0" applyFont="1" applyFill="1" applyBorder="1" applyProtection="1">
      <protection locked="0"/>
    </xf>
    <xf numFmtId="0" fontId="1" fillId="2" borderId="29" xfId="0" applyFont="1" applyFill="1" applyBorder="1" applyAlignment="1" applyProtection="1">
      <alignment horizontal="right" vertical="top"/>
      <protection locked="0"/>
    </xf>
    <xf numFmtId="0" fontId="1" fillId="2" borderId="18" xfId="0" applyFont="1" applyFill="1" applyBorder="1" applyAlignment="1" applyProtection="1">
      <alignment vertical="top"/>
      <protection locked="0"/>
    </xf>
    <xf numFmtId="0" fontId="1" fillId="2" borderId="18" xfId="0" applyFont="1" applyFill="1" applyBorder="1" applyProtection="1">
      <protection locked="0"/>
    </xf>
    <xf numFmtId="0" fontId="1" fillId="2" borderId="30" xfId="0" applyFont="1" applyFill="1" applyBorder="1" applyProtection="1">
      <protection locked="0"/>
    </xf>
    <xf numFmtId="0" fontId="1" fillId="2" borderId="31" xfId="0" applyFont="1" applyFill="1" applyBorder="1" applyProtection="1">
      <protection locked="0"/>
    </xf>
    <xf numFmtId="0" fontId="1" fillId="2" borderId="30" xfId="0" applyFont="1" applyFill="1" applyBorder="1" applyAlignment="1" applyProtection="1">
      <alignment vertical="top"/>
      <protection locked="0"/>
    </xf>
    <xf numFmtId="0" fontId="1" fillId="2" borderId="31" xfId="0" applyFont="1" applyFill="1" applyBorder="1" applyAlignment="1" applyProtection="1">
      <alignment vertical="top"/>
      <protection locked="0"/>
    </xf>
    <xf numFmtId="0" fontId="1" fillId="2" borderId="33" xfId="0" applyFont="1" applyFill="1" applyBorder="1" applyAlignment="1" applyProtection="1">
      <alignment horizontal="right" vertical="top"/>
      <protection locked="0"/>
    </xf>
    <xf numFmtId="0" fontId="1" fillId="2" borderId="19" xfId="0" applyFont="1" applyFill="1" applyBorder="1" applyAlignment="1" applyProtection="1">
      <alignment vertical="top"/>
      <protection locked="0"/>
    </xf>
    <xf numFmtId="0" fontId="1" fillId="2" borderId="19" xfId="0" applyFont="1" applyFill="1" applyBorder="1" applyProtection="1">
      <protection locked="0"/>
    </xf>
    <xf numFmtId="0" fontId="0" fillId="0" borderId="16" xfId="0" applyBorder="1" applyAlignment="1">
      <alignment horizontal="center" vertical="top"/>
    </xf>
    <xf numFmtId="0" fontId="0" fillId="0" borderId="36" xfId="0" applyBorder="1" applyAlignment="1">
      <alignment horizontal="center" vertical="top"/>
    </xf>
    <xf numFmtId="165" fontId="0" fillId="3" borderId="38" xfId="1" applyNumberFormat="1" applyFont="1" applyFill="1" applyBorder="1" applyAlignment="1">
      <alignment horizontal="center" vertical="top"/>
    </xf>
    <xf numFmtId="165" fontId="0" fillId="3" borderId="39" xfId="1" applyNumberFormat="1" applyFont="1" applyFill="1" applyBorder="1" applyAlignment="1">
      <alignment horizontal="center" vertical="top"/>
    </xf>
    <xf numFmtId="167" fontId="0" fillId="3" borderId="38" xfId="1" applyNumberFormat="1" applyFont="1" applyFill="1" applyBorder="1" applyAlignment="1">
      <alignment horizontal="center" vertical="top"/>
    </xf>
    <xf numFmtId="167" fontId="0" fillId="3" borderId="39" xfId="1" applyNumberFormat="1" applyFont="1" applyFill="1" applyBorder="1" applyAlignment="1">
      <alignment horizontal="center" vertical="top"/>
    </xf>
    <xf numFmtId="168" fontId="0" fillId="3" borderId="38" xfId="1" applyNumberFormat="1" applyFont="1" applyFill="1" applyBorder="1" applyAlignment="1">
      <alignment horizontal="center" vertical="top"/>
    </xf>
    <xf numFmtId="0" fontId="0" fillId="0" borderId="6" xfId="0" applyBorder="1" applyAlignment="1">
      <alignment horizontal="center" vertical="top"/>
    </xf>
    <xf numFmtId="169" fontId="0" fillId="0" borderId="33" xfId="0" applyNumberFormat="1" applyBorder="1" applyAlignment="1">
      <alignment horizontal="center" vertical="top"/>
    </xf>
    <xf numFmtId="0" fontId="1" fillId="0" borderId="2" xfId="0" applyFont="1" applyBorder="1" applyAlignment="1">
      <alignment horizontal="center" vertical="top" wrapText="1"/>
    </xf>
    <xf numFmtId="0" fontId="15" fillId="2" borderId="0" xfId="5" applyFont="1" applyFill="1" applyAlignment="1">
      <alignment horizontal="center" vertical="center"/>
    </xf>
    <xf numFmtId="0" fontId="1" fillId="2" borderId="34" xfId="0" applyFont="1" applyFill="1" applyBorder="1" applyAlignment="1" applyProtection="1">
      <alignment horizontal="right" vertical="top"/>
      <protection locked="0"/>
    </xf>
    <xf numFmtId="0" fontId="1" fillId="0" borderId="4" xfId="0" applyFont="1" applyBorder="1" applyAlignment="1">
      <alignment horizontal="center" vertical="top" wrapText="1"/>
    </xf>
    <xf numFmtId="0" fontId="1" fillId="0" borderId="42" xfId="0" applyFont="1" applyBorder="1" applyAlignment="1">
      <alignment horizontal="center" vertical="top" wrapText="1"/>
    </xf>
    <xf numFmtId="0" fontId="1" fillId="0" borderId="3" xfId="0" applyFont="1" applyBorder="1" applyAlignment="1">
      <alignment horizontal="center" vertical="top" wrapText="1"/>
    </xf>
    <xf numFmtId="0" fontId="1" fillId="0" borderId="4" xfId="0" applyFont="1" applyBorder="1" applyAlignment="1">
      <alignment horizontal="center" vertical="center" wrapText="1"/>
    </xf>
    <xf numFmtId="9" fontId="1" fillId="0" borderId="4" xfId="0" applyNumberFormat="1" applyFont="1" applyBorder="1" applyAlignment="1">
      <alignment horizontal="center" vertical="center" wrapText="1"/>
    </xf>
    <xf numFmtId="0" fontId="1" fillId="0" borderId="2" xfId="0" applyFont="1" applyBorder="1" applyAlignment="1">
      <alignment horizontal="center" vertical="center" wrapText="1"/>
    </xf>
    <xf numFmtId="9" fontId="1" fillId="0" borderId="2" xfId="0" applyNumberFormat="1" applyFont="1" applyBorder="1" applyAlignment="1">
      <alignment horizontal="center" vertical="center" wrapText="1"/>
    </xf>
    <xf numFmtId="9" fontId="1" fillId="2" borderId="2" xfId="0" applyNumberFormat="1" applyFont="1" applyFill="1" applyBorder="1" applyAlignment="1">
      <alignment horizontal="center" vertical="center" wrapText="1"/>
    </xf>
    <xf numFmtId="0" fontId="1" fillId="0" borderId="42" xfId="0" applyFont="1" applyBorder="1" applyAlignment="1">
      <alignment horizontal="center" vertical="center" wrapText="1"/>
    </xf>
    <xf numFmtId="0" fontId="1" fillId="0" borderId="3" xfId="0" applyFont="1" applyBorder="1" applyAlignment="1">
      <alignment horizontal="center" vertical="center" wrapText="1"/>
    </xf>
    <xf numFmtId="0" fontId="1" fillId="2" borderId="18" xfId="0" applyFont="1" applyFill="1" applyBorder="1" applyAlignment="1">
      <alignment vertical="top"/>
    </xf>
    <xf numFmtId="0" fontId="1" fillId="0" borderId="10" xfId="0" applyFont="1" applyBorder="1" applyAlignment="1">
      <alignment horizontal="center" vertical="top" wrapText="1"/>
    </xf>
    <xf numFmtId="0" fontId="1" fillId="0" borderId="30" xfId="0" applyFont="1" applyBorder="1" applyAlignment="1">
      <alignment horizontal="center" vertical="top" wrapText="1"/>
    </xf>
    <xf numFmtId="0" fontId="19" fillId="0" borderId="0" xfId="0" applyFont="1" applyAlignment="1">
      <alignment vertical="top"/>
    </xf>
    <xf numFmtId="0" fontId="15" fillId="0" borderId="0" xfId="5" applyFont="1" applyAlignment="1">
      <alignment vertical="top"/>
    </xf>
    <xf numFmtId="0" fontId="1" fillId="0" borderId="49" xfId="0" applyFont="1" applyBorder="1" applyAlignment="1">
      <alignment vertical="top"/>
    </xf>
    <xf numFmtId="9" fontId="1" fillId="0" borderId="49" xfId="2" applyFont="1" applyBorder="1" applyAlignment="1">
      <alignment horizontal="center" vertical="top"/>
    </xf>
    <xf numFmtId="0" fontId="1" fillId="0" borderId="49" xfId="0" applyFont="1" applyBorder="1" applyAlignment="1">
      <alignment horizontal="center" vertical="top"/>
    </xf>
    <xf numFmtId="17" fontId="16" fillId="7" borderId="45" xfId="0" applyNumberFormat="1" applyFont="1" applyFill="1" applyBorder="1" applyAlignment="1">
      <alignment horizontal="center" vertical="top"/>
    </xf>
    <xf numFmtId="0" fontId="1" fillId="7" borderId="0" xfId="0" applyFont="1" applyFill="1" applyAlignment="1">
      <alignment vertical="top"/>
    </xf>
    <xf numFmtId="0" fontId="3" fillId="7" borderId="0" xfId="0" applyFont="1" applyFill="1" applyAlignment="1">
      <alignment horizontal="center" vertical="top"/>
    </xf>
    <xf numFmtId="0" fontId="1" fillId="7" borderId="0" xfId="0" applyFont="1" applyFill="1" applyAlignment="1">
      <alignment vertical="top" wrapText="1"/>
    </xf>
    <xf numFmtId="0" fontId="3" fillId="7" borderId="1" xfId="0" applyFont="1" applyFill="1" applyBorder="1" applyAlignment="1">
      <alignment horizontal="center" vertical="top"/>
    </xf>
    <xf numFmtId="0" fontId="3" fillId="7" borderId="1" xfId="0" applyFont="1" applyFill="1" applyBorder="1" applyAlignment="1">
      <alignment horizontal="center" vertical="top" wrapText="1"/>
    </xf>
    <xf numFmtId="0" fontId="3" fillId="7" borderId="10" xfId="0" applyFont="1" applyFill="1" applyBorder="1" applyAlignment="1">
      <alignment horizontal="center" vertical="top" wrapText="1"/>
    </xf>
    <xf numFmtId="168" fontId="0" fillId="3" borderId="39" xfId="1" applyNumberFormat="1" applyFont="1" applyFill="1" applyBorder="1" applyAlignment="1">
      <alignment horizontal="center" vertical="top"/>
    </xf>
    <xf numFmtId="170" fontId="0" fillId="3" borderId="39" xfId="1" applyNumberFormat="1" applyFont="1" applyFill="1" applyBorder="1" applyAlignment="1">
      <alignment horizontal="center" vertical="top"/>
    </xf>
    <xf numFmtId="170" fontId="0" fillId="3" borderId="38" xfId="1" applyNumberFormat="1" applyFont="1" applyFill="1" applyBorder="1" applyAlignment="1">
      <alignment horizontal="center" vertical="top"/>
    </xf>
    <xf numFmtId="0" fontId="20" fillId="8" borderId="1" xfId="0" applyFont="1" applyFill="1" applyBorder="1" applyAlignment="1">
      <alignment horizontal="center" vertical="center"/>
    </xf>
    <xf numFmtId="0" fontId="20" fillId="8" borderId="1" xfId="0" applyFont="1" applyFill="1" applyBorder="1" applyAlignment="1">
      <alignment horizontal="center" vertical="center" wrapText="1"/>
    </xf>
    <xf numFmtId="0" fontId="21" fillId="0" borderId="0" xfId="0" applyFont="1" applyAlignment="1">
      <alignment vertical="top"/>
    </xf>
    <xf numFmtId="169" fontId="0" fillId="2" borderId="1" xfId="0" applyNumberFormat="1" applyFill="1" applyBorder="1" applyAlignment="1">
      <alignment horizontal="center" vertical="center"/>
    </xf>
    <xf numFmtId="1" fontId="0" fillId="2" borderId="1" xfId="0" applyNumberFormat="1" applyFill="1" applyBorder="1" applyAlignment="1">
      <alignment horizontal="center" vertical="center"/>
    </xf>
    <xf numFmtId="9" fontId="1" fillId="0" borderId="0" xfId="0" applyNumberFormat="1" applyFont="1" applyAlignment="1">
      <alignment vertical="top"/>
    </xf>
    <xf numFmtId="9" fontId="1" fillId="0" borderId="45" xfId="0" applyNumberFormat="1" applyFont="1" applyBorder="1" applyAlignment="1">
      <alignment vertical="top"/>
    </xf>
    <xf numFmtId="0" fontId="0" fillId="0" borderId="1" xfId="0" applyBorder="1" applyAlignment="1">
      <alignment horizontal="center"/>
    </xf>
    <xf numFmtId="0" fontId="0" fillId="4" borderId="12" xfId="0" applyFill="1" applyBorder="1" applyAlignment="1">
      <alignment vertical="top" wrapText="1"/>
    </xf>
    <xf numFmtId="0" fontId="12" fillId="0" borderId="36" xfId="0" applyFont="1" applyBorder="1" applyAlignment="1">
      <alignment vertical="top" wrapText="1"/>
    </xf>
    <xf numFmtId="0" fontId="0" fillId="0" borderId="0" xfId="0" applyAlignment="1">
      <alignment vertical="top"/>
    </xf>
    <xf numFmtId="0" fontId="6" fillId="0" borderId="0" xfId="0" applyFont="1" applyAlignment="1">
      <alignment vertical="top"/>
    </xf>
    <xf numFmtId="0" fontId="0" fillId="0" borderId="11" xfId="0" applyBorder="1" applyAlignment="1">
      <alignment horizontal="centerContinuous" vertical="top"/>
    </xf>
    <xf numFmtId="9" fontId="0" fillId="0" borderId="10" xfId="2" applyFont="1" applyBorder="1" applyAlignment="1">
      <alignment horizontal="centerContinuous" vertical="top"/>
    </xf>
    <xf numFmtId="0" fontId="0" fillId="0" borderId="14" xfId="0" applyBorder="1" applyAlignment="1">
      <alignment vertical="top"/>
    </xf>
    <xf numFmtId="0" fontId="0" fillId="0" borderId="16" xfId="0" applyBorder="1" applyAlignment="1">
      <alignment vertical="top"/>
    </xf>
    <xf numFmtId="0" fontId="6" fillId="0" borderId="1" xfId="0" applyFont="1" applyBorder="1" applyAlignment="1">
      <alignment vertical="top" wrapText="1"/>
    </xf>
    <xf numFmtId="0" fontId="6" fillId="0" borderId="1" xfId="0" applyFont="1" applyBorder="1" applyAlignment="1">
      <alignment horizontal="centerContinuous" vertical="top"/>
    </xf>
    <xf numFmtId="0" fontId="6" fillId="0" borderId="1" xfId="0" applyFont="1" applyBorder="1" applyAlignment="1">
      <alignment vertical="top"/>
    </xf>
    <xf numFmtId="0" fontId="6" fillId="0" borderId="10" xfId="0" applyFont="1" applyBorder="1" applyAlignment="1">
      <alignment horizontal="centerContinuous" vertical="top"/>
    </xf>
    <xf numFmtId="0" fontId="6" fillId="0" borderId="24" xfId="0" applyFont="1" applyBorder="1" applyAlignment="1">
      <alignment horizontal="centerContinuous" vertical="top"/>
    </xf>
    <xf numFmtId="0" fontId="0" fillId="0" borderId="24" xfId="0" applyBorder="1" applyAlignment="1">
      <alignment horizontal="centerContinuous" vertical="top"/>
    </xf>
    <xf numFmtId="0" fontId="0" fillId="0" borderId="7" xfId="0" applyBorder="1" applyAlignment="1">
      <alignment vertical="top" wrapText="1"/>
    </xf>
    <xf numFmtId="0" fontId="0" fillId="0" borderId="14" xfId="0" applyBorder="1" applyAlignment="1">
      <alignment vertical="top" wrapText="1"/>
    </xf>
    <xf numFmtId="0" fontId="0" fillId="0" borderId="15" xfId="0" applyBorder="1" applyAlignment="1">
      <alignment vertical="top"/>
    </xf>
    <xf numFmtId="0" fontId="0" fillId="0" borderId="36" xfId="0" applyBorder="1" applyAlignment="1">
      <alignment vertical="top" wrapText="1"/>
    </xf>
    <xf numFmtId="0" fontId="0" fillId="0" borderId="6" xfId="0" applyBorder="1" applyAlignment="1">
      <alignment vertical="top" wrapText="1"/>
    </xf>
    <xf numFmtId="0" fontId="0" fillId="0" borderId="6" xfId="0" applyBorder="1" applyAlignment="1">
      <alignment vertical="top"/>
    </xf>
    <xf numFmtId="0" fontId="0" fillId="0" borderId="12" xfId="0" applyBorder="1" applyAlignment="1">
      <alignment vertical="top" wrapText="1"/>
    </xf>
    <xf numFmtId="0" fontId="0" fillId="0" borderId="13" xfId="0" applyBorder="1" applyAlignment="1">
      <alignment vertical="top"/>
    </xf>
    <xf numFmtId="0" fontId="0" fillId="0" borderId="5" xfId="0" applyBorder="1" applyAlignment="1">
      <alignment vertical="top" wrapText="1"/>
    </xf>
    <xf numFmtId="0" fontId="0" fillId="0" borderId="5" xfId="0" applyBorder="1" applyAlignment="1">
      <alignment horizontal="center" vertical="top"/>
    </xf>
    <xf numFmtId="0" fontId="10" fillId="0" borderId="0" xfId="0" applyFont="1" applyAlignment="1">
      <alignment vertical="top" wrapText="1"/>
    </xf>
    <xf numFmtId="0" fontId="6" fillId="0" borderId="7" xfId="0" applyFont="1" applyBorder="1" applyAlignment="1">
      <alignment vertical="top" wrapText="1"/>
    </xf>
    <xf numFmtId="0" fontId="6" fillId="0" borderId="12" xfId="0" applyFont="1" applyBorder="1" applyAlignment="1">
      <alignment vertical="top" wrapText="1"/>
    </xf>
    <xf numFmtId="0" fontId="6" fillId="0" borderId="36" xfId="0" applyFont="1" applyBorder="1" applyAlignment="1">
      <alignment vertical="top" wrapText="1"/>
    </xf>
    <xf numFmtId="0" fontId="6" fillId="4" borderId="7" xfId="0" applyFont="1" applyFill="1" applyBorder="1" applyAlignment="1">
      <alignment vertical="top" wrapText="1"/>
    </xf>
    <xf numFmtId="9" fontId="1" fillId="0" borderId="54" xfId="0" applyNumberFormat="1" applyFont="1" applyBorder="1" applyAlignment="1">
      <alignment horizontal="center" vertical="top"/>
    </xf>
    <xf numFmtId="0" fontId="0" fillId="0" borderId="0" xfId="0" applyAlignment="1">
      <alignment horizontal="centerContinuous" vertical="top"/>
    </xf>
    <xf numFmtId="0" fontId="0" fillId="0" borderId="34" xfId="0" applyBorder="1" applyAlignment="1">
      <alignment horizontal="center" vertical="top"/>
    </xf>
    <xf numFmtId="0" fontId="0" fillId="0" borderId="30" xfId="0" applyBorder="1" applyAlignment="1">
      <alignment horizontal="center" vertical="top"/>
    </xf>
    <xf numFmtId="0" fontId="6" fillId="9" borderId="1" xfId="0" applyFont="1" applyFill="1" applyBorder="1" applyAlignment="1">
      <alignment horizontal="centerContinuous" vertical="top"/>
    </xf>
    <xf numFmtId="0" fontId="3" fillId="2" borderId="1" xfId="0" applyFont="1" applyFill="1" applyBorder="1" applyAlignment="1" applyProtection="1">
      <alignment horizontal="center" vertical="center"/>
      <protection locked="0"/>
    </xf>
    <xf numFmtId="0" fontId="1" fillId="2" borderId="36" xfId="0" applyFont="1" applyFill="1" applyBorder="1" applyAlignment="1">
      <alignment vertical="top"/>
    </xf>
    <xf numFmtId="0" fontId="1" fillId="10" borderId="0" xfId="0" applyFont="1" applyFill="1"/>
    <xf numFmtId="0" fontId="1" fillId="10" borderId="1" xfId="0" applyFont="1" applyFill="1" applyBorder="1" applyAlignment="1">
      <alignment vertical="top"/>
    </xf>
    <xf numFmtId="9" fontId="3" fillId="10" borderId="1" xfId="0" applyNumberFormat="1" applyFont="1" applyFill="1" applyBorder="1" applyAlignment="1" applyProtection="1">
      <alignment horizontal="center" vertical="center"/>
      <protection locked="0"/>
    </xf>
    <xf numFmtId="166" fontId="23" fillId="11" borderId="22" xfId="2" applyNumberFormat="1" applyFont="1" applyFill="1" applyBorder="1" applyAlignment="1" applyProtection="1">
      <alignment horizontal="center" vertical="center"/>
      <protection locked="0"/>
    </xf>
    <xf numFmtId="0" fontId="1" fillId="11" borderId="0" xfId="0" applyFont="1" applyFill="1"/>
    <xf numFmtId="0" fontId="1" fillId="2" borderId="34" xfId="0" applyFont="1" applyFill="1" applyBorder="1" applyProtection="1">
      <protection locked="0"/>
    </xf>
    <xf numFmtId="0" fontId="1" fillId="2" borderId="35" xfId="0" applyFont="1" applyFill="1" applyBorder="1" applyProtection="1">
      <protection locked="0"/>
    </xf>
    <xf numFmtId="0" fontId="3" fillId="2" borderId="1" xfId="0" applyFont="1" applyFill="1" applyBorder="1" applyAlignment="1">
      <alignment horizontal="center" vertical="center"/>
    </xf>
    <xf numFmtId="9" fontId="23" fillId="11" borderId="22" xfId="2" applyFont="1" applyFill="1" applyBorder="1" applyAlignment="1" applyProtection="1">
      <alignment horizontal="center" vertical="center"/>
      <protection locked="0"/>
    </xf>
    <xf numFmtId="0" fontId="1" fillId="2" borderId="25" xfId="0" applyFont="1" applyFill="1" applyBorder="1" applyAlignment="1">
      <alignment horizontal="right" vertical="top"/>
    </xf>
    <xf numFmtId="0" fontId="3" fillId="2" borderId="26" xfId="0" applyFont="1" applyFill="1" applyBorder="1" applyAlignment="1" applyProtection="1">
      <alignment horizontal="center" vertical="top"/>
      <protection locked="0"/>
    </xf>
    <xf numFmtId="0" fontId="3" fillId="2" borderId="29" xfId="0" applyFont="1" applyFill="1" applyBorder="1" applyAlignment="1" applyProtection="1">
      <alignment horizontal="center" vertical="top"/>
      <protection locked="0"/>
    </xf>
    <xf numFmtId="0" fontId="3" fillId="2" borderId="33" xfId="0" applyFont="1" applyFill="1" applyBorder="1" applyAlignment="1" applyProtection="1">
      <alignment horizontal="center" vertical="top"/>
      <protection locked="0"/>
    </xf>
    <xf numFmtId="0" fontId="1" fillId="2" borderId="36" xfId="0" applyFont="1" applyFill="1" applyBorder="1" applyAlignment="1">
      <alignment horizontal="right" vertical="top"/>
    </xf>
    <xf numFmtId="164" fontId="1" fillId="2" borderId="1" xfId="14" applyFont="1" applyFill="1" applyBorder="1" applyAlignment="1">
      <alignment vertical="top"/>
    </xf>
    <xf numFmtId="164" fontId="1" fillId="2" borderId="1" xfId="14" applyFont="1" applyFill="1" applyBorder="1"/>
    <xf numFmtId="164" fontId="1" fillId="2" borderId="1" xfId="14" applyFont="1" applyFill="1" applyBorder="1" applyProtection="1">
      <protection locked="0"/>
    </xf>
    <xf numFmtId="0" fontId="1" fillId="2" borderId="1" xfId="0" applyFont="1" applyFill="1" applyBorder="1" applyAlignment="1">
      <alignment horizontal="right" vertical="top"/>
    </xf>
    <xf numFmtId="42" fontId="1" fillId="2" borderId="1" xfId="0" applyNumberFormat="1" applyFont="1" applyFill="1" applyBorder="1" applyProtection="1">
      <protection locked="0"/>
    </xf>
    <xf numFmtId="0" fontId="3" fillId="10" borderId="1" xfId="0" applyFont="1" applyFill="1" applyBorder="1" applyAlignment="1">
      <alignment horizontal="center" vertical="center"/>
    </xf>
    <xf numFmtId="10" fontId="23" fillId="11" borderId="22" xfId="2" applyNumberFormat="1" applyFont="1" applyFill="1" applyBorder="1" applyAlignment="1" applyProtection="1">
      <alignment horizontal="center" vertical="center"/>
      <protection locked="0"/>
    </xf>
    <xf numFmtId="9" fontId="1" fillId="2" borderId="1" xfId="0" applyNumberFormat="1" applyFont="1" applyFill="1" applyBorder="1" applyProtection="1">
      <protection locked="0"/>
    </xf>
    <xf numFmtId="42" fontId="1" fillId="2" borderId="1" xfId="21" applyFont="1" applyFill="1" applyBorder="1" applyAlignment="1">
      <alignment horizontal="center" vertical="center"/>
    </xf>
    <xf numFmtId="42" fontId="1" fillId="0" borderId="1" xfId="21" applyFont="1" applyFill="1" applyBorder="1" applyAlignment="1">
      <alignment horizontal="center" vertical="center"/>
    </xf>
    <xf numFmtId="42" fontId="1" fillId="2" borderId="0" xfId="0" applyNumberFormat="1" applyFont="1" applyFill="1"/>
    <xf numFmtId="172" fontId="1" fillId="2" borderId="1" xfId="14" applyNumberFormat="1" applyFont="1" applyFill="1" applyBorder="1"/>
    <xf numFmtId="172" fontId="1" fillId="2" borderId="1" xfId="14" applyNumberFormat="1" applyFont="1" applyFill="1" applyBorder="1" applyProtection="1">
      <protection locked="0"/>
    </xf>
    <xf numFmtId="0" fontId="3" fillId="10" borderId="10" xfId="0" applyFont="1" applyFill="1" applyBorder="1" applyAlignment="1">
      <alignment horizontal="center" vertical="center"/>
    </xf>
    <xf numFmtId="9" fontId="3" fillId="10" borderId="1" xfId="2" applyFont="1" applyFill="1" applyBorder="1" applyAlignment="1">
      <alignment horizontal="center" vertical="center"/>
    </xf>
    <xf numFmtId="10" fontId="3" fillId="11" borderId="1" xfId="2" applyNumberFormat="1" applyFont="1" applyFill="1" applyBorder="1" applyAlignment="1">
      <alignment horizontal="center" vertical="center"/>
    </xf>
    <xf numFmtId="9" fontId="3" fillId="11" borderId="1" xfId="2" applyFont="1" applyFill="1" applyBorder="1" applyAlignment="1">
      <alignment horizontal="center" vertical="center"/>
    </xf>
    <xf numFmtId="9" fontId="1" fillId="2" borderId="0" xfId="2" applyFont="1" applyFill="1"/>
    <xf numFmtId="0" fontId="1" fillId="2" borderId="45" xfId="0" applyFont="1" applyFill="1" applyBorder="1"/>
    <xf numFmtId="0" fontId="1" fillId="2" borderId="46" xfId="0" applyFont="1" applyFill="1" applyBorder="1"/>
    <xf numFmtId="0" fontId="1" fillId="2" borderId="47" xfId="0" applyFont="1" applyFill="1" applyBorder="1"/>
    <xf numFmtId="0" fontId="1" fillId="2" borderId="64" xfId="0" applyFont="1" applyFill="1" applyBorder="1" applyAlignment="1">
      <alignment vertical="top"/>
    </xf>
    <xf numFmtId="0" fontId="1" fillId="2" borderId="64" xfId="0" quotePrefix="1" applyFont="1" applyFill="1" applyBorder="1" applyAlignment="1">
      <alignment vertical="top"/>
    </xf>
    <xf numFmtId="0" fontId="1" fillId="2" borderId="1" xfId="0" applyFont="1" applyFill="1" applyBorder="1"/>
    <xf numFmtId="9" fontId="1" fillId="2" borderId="66" xfId="2" applyFont="1" applyFill="1" applyBorder="1"/>
    <xf numFmtId="0" fontId="1" fillId="2" borderId="67" xfId="0" quotePrefix="1" applyFont="1" applyFill="1" applyBorder="1" applyAlignment="1">
      <alignment vertical="top"/>
    </xf>
    <xf numFmtId="0" fontId="1" fillId="2" borderId="68" xfId="0" applyFont="1" applyFill="1" applyBorder="1"/>
    <xf numFmtId="9" fontId="1" fillId="2" borderId="69" xfId="2" applyFont="1" applyFill="1" applyBorder="1"/>
    <xf numFmtId="0" fontId="14" fillId="2" borderId="0" xfId="5" applyFill="1"/>
    <xf numFmtId="0" fontId="1" fillId="2" borderId="1" xfId="0" applyFont="1" applyFill="1" applyBorder="1" applyAlignment="1" applyProtection="1">
      <alignment horizontal="center" vertical="center"/>
      <protection locked="0"/>
    </xf>
    <xf numFmtId="0" fontId="21" fillId="2" borderId="23" xfId="0" applyFont="1" applyFill="1" applyBorder="1" applyAlignment="1">
      <alignment vertical="top"/>
    </xf>
    <xf numFmtId="0" fontId="25" fillId="2" borderId="23" xfId="0" applyFont="1" applyFill="1" applyBorder="1" applyAlignment="1">
      <alignment vertical="top"/>
    </xf>
    <xf numFmtId="0" fontId="26" fillId="14" borderId="1" xfId="0" applyFont="1" applyFill="1" applyBorder="1" applyAlignment="1">
      <alignment horizontal="left" vertical="center"/>
    </xf>
    <xf numFmtId="0" fontId="27" fillId="0" borderId="1" xfId="0" applyFont="1" applyBorder="1" applyAlignment="1">
      <alignment horizontal="left" vertical="center"/>
    </xf>
    <xf numFmtId="9" fontId="28" fillId="15" borderId="1" xfId="0" applyNumberFormat="1" applyFont="1" applyFill="1" applyBorder="1" applyAlignment="1">
      <alignment horizontal="center" vertical="center" wrapText="1"/>
    </xf>
    <xf numFmtId="0" fontId="27" fillId="0" borderId="1" xfId="0" applyFont="1" applyBorder="1" applyAlignment="1">
      <alignment horizontal="left" vertical="center" wrapText="1"/>
    </xf>
    <xf numFmtId="0" fontId="29" fillId="16" borderId="1" xfId="0" applyFont="1" applyFill="1" applyBorder="1" applyAlignment="1">
      <alignment horizontal="center" vertical="center"/>
    </xf>
    <xf numFmtId="0" fontId="29" fillId="15" borderId="1" xfId="0" applyFont="1" applyFill="1" applyBorder="1" applyAlignment="1">
      <alignment horizontal="center" vertical="center"/>
    </xf>
    <xf numFmtId="0" fontId="1" fillId="2" borderId="26" xfId="0" applyFont="1" applyFill="1" applyBorder="1" applyAlignment="1" applyProtection="1">
      <alignment horizontal="right" vertical="center"/>
      <protection locked="0"/>
    </xf>
    <xf numFmtId="0" fontId="1" fillId="2" borderId="0" xfId="0" applyFont="1" applyFill="1" applyAlignment="1" applyProtection="1">
      <alignment horizontal="right" vertical="top"/>
      <protection locked="0"/>
    </xf>
    <xf numFmtId="0" fontId="1" fillId="2" borderId="0" xfId="0" applyFont="1" applyFill="1" applyAlignment="1" applyProtection="1">
      <alignment horizontal="left" vertical="top" wrapText="1"/>
      <protection locked="0"/>
    </xf>
    <xf numFmtId="0" fontId="1" fillId="2" borderId="1" xfId="0" applyFont="1" applyFill="1" applyBorder="1" applyAlignment="1" applyProtection="1">
      <alignment horizontal="left" vertical="top" wrapText="1"/>
      <protection locked="0"/>
    </xf>
    <xf numFmtId="2"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1" fillId="3" borderId="1" xfId="0" applyFont="1" applyFill="1" applyBorder="1" applyAlignment="1" applyProtection="1">
      <alignment horizontal="left" vertical="top" wrapText="1"/>
      <protection locked="0"/>
    </xf>
    <xf numFmtId="0" fontId="3" fillId="3" borderId="1" xfId="0" applyFont="1" applyFill="1" applyBorder="1" applyAlignment="1" applyProtection="1">
      <alignment horizontal="center" vertical="center" wrapText="1"/>
      <protection locked="0"/>
    </xf>
    <xf numFmtId="0" fontId="1" fillId="3" borderId="1" xfId="0" applyFont="1" applyFill="1" applyBorder="1" applyAlignment="1" applyProtection="1">
      <alignment horizontal="left" vertical="center" wrapText="1"/>
      <protection locked="0"/>
    </xf>
    <xf numFmtId="0" fontId="3" fillId="3" borderId="1" xfId="0" applyFont="1" applyFill="1" applyBorder="1" applyAlignment="1" applyProtection="1">
      <alignment horizontal="left" vertical="center" wrapText="1"/>
      <protection locked="0"/>
    </xf>
    <xf numFmtId="0" fontId="1" fillId="2" borderId="1" xfId="0" applyFont="1" applyFill="1" applyBorder="1" applyAlignment="1">
      <alignment vertical="top" wrapText="1"/>
    </xf>
    <xf numFmtId="9" fontId="1" fillId="2" borderId="1" xfId="2" applyFont="1" applyFill="1" applyBorder="1" applyAlignment="1">
      <alignment horizontal="center" vertical="center"/>
    </xf>
    <xf numFmtId="0" fontId="15" fillId="2" borderId="0" xfId="5" applyFont="1" applyFill="1"/>
    <xf numFmtId="166" fontId="1" fillId="2" borderId="22" xfId="2" applyNumberFormat="1" applyFont="1" applyFill="1" applyBorder="1" applyProtection="1">
      <protection locked="0"/>
    </xf>
    <xf numFmtId="0" fontId="26" fillId="18" borderId="1" xfId="0" applyFont="1" applyFill="1" applyBorder="1" applyAlignment="1">
      <alignment horizontal="left" vertical="center"/>
    </xf>
    <xf numFmtId="17" fontId="26" fillId="18" borderId="1" xfId="0" applyNumberFormat="1" applyFont="1" applyFill="1" applyBorder="1" applyAlignment="1">
      <alignment horizontal="center" vertical="center"/>
    </xf>
    <xf numFmtId="9" fontId="31" fillId="19" borderId="1" xfId="2" applyFont="1" applyFill="1" applyBorder="1" applyAlignment="1">
      <alignment horizontal="center" vertical="center"/>
    </xf>
    <xf numFmtId="9" fontId="29" fillId="19" borderId="1" xfId="2" applyFont="1" applyFill="1" applyBorder="1" applyAlignment="1">
      <alignment horizontal="center" vertical="center"/>
    </xf>
    <xf numFmtId="0" fontId="27" fillId="0" borderId="0" xfId="0" applyFont="1" applyAlignment="1">
      <alignment horizontal="left" vertical="center" wrapText="1"/>
    </xf>
    <xf numFmtId="173" fontId="29" fillId="12" borderId="0" xfId="4" applyNumberFormat="1" applyFont="1" applyFill="1" applyBorder="1" applyAlignment="1">
      <alignment vertical="center"/>
    </xf>
    <xf numFmtId="173" fontId="29" fillId="12" borderId="0" xfId="4" applyNumberFormat="1" applyFont="1" applyFill="1" applyBorder="1" applyAlignment="1">
      <alignment horizontal="center" vertical="center"/>
    </xf>
    <xf numFmtId="173" fontId="29" fillId="0" borderId="0" xfId="4" applyNumberFormat="1" applyFont="1" applyFill="1" applyBorder="1" applyAlignment="1">
      <alignment vertical="center"/>
    </xf>
    <xf numFmtId="173" fontId="29" fillId="0" borderId="0" xfId="4" applyNumberFormat="1" applyFont="1" applyFill="1" applyBorder="1" applyAlignment="1">
      <alignment horizontal="center" vertical="center"/>
    </xf>
    <xf numFmtId="9" fontId="29" fillId="0" borderId="0" xfId="2" applyFont="1" applyFill="1" applyBorder="1" applyAlignment="1">
      <alignment horizontal="center" vertical="center"/>
    </xf>
    <xf numFmtId="9" fontId="1" fillId="2" borderId="23" xfId="2" applyFont="1" applyFill="1" applyBorder="1" applyAlignment="1" applyProtection="1">
      <alignment horizontal="center" vertical="center"/>
    </xf>
    <xf numFmtId="0" fontId="1" fillId="2" borderId="0" xfId="0" applyFont="1" applyFill="1" applyAlignment="1" applyProtection="1">
      <alignment horizontal="left"/>
      <protection locked="0"/>
    </xf>
    <xf numFmtId="0" fontId="27" fillId="2" borderId="1" xfId="0" applyFont="1" applyFill="1" applyBorder="1" applyAlignment="1">
      <alignment horizontal="left" vertical="center"/>
    </xf>
    <xf numFmtId="0" fontId="27" fillId="12" borderId="0" xfId="0" applyFont="1" applyFill="1" applyAlignment="1">
      <alignment horizontal="left" vertical="center" wrapText="1"/>
    </xf>
    <xf numFmtId="10" fontId="29" fillId="2" borderId="1" xfId="2" applyNumberFormat="1" applyFont="1" applyFill="1" applyBorder="1" applyAlignment="1">
      <alignment horizontal="center"/>
    </xf>
    <xf numFmtId="0" fontId="21" fillId="2" borderId="0" xfId="0" applyFont="1" applyFill="1" applyAlignment="1">
      <alignment vertical="top"/>
    </xf>
    <xf numFmtId="10" fontId="1" fillId="2" borderId="1" xfId="2" applyNumberFormat="1" applyFont="1" applyFill="1" applyBorder="1" applyAlignment="1">
      <alignment horizontal="center"/>
    </xf>
    <xf numFmtId="174" fontId="1" fillId="2" borderId="0" xfId="2" applyNumberFormat="1" applyFont="1" applyFill="1"/>
    <xf numFmtId="0" fontId="1" fillId="13" borderId="1" xfId="0" applyFont="1" applyFill="1" applyBorder="1" applyProtection="1">
      <protection locked="0"/>
    </xf>
    <xf numFmtId="0" fontId="3" fillId="2" borderId="0" xfId="0" applyFont="1" applyFill="1" applyAlignment="1">
      <alignment horizontal="center" vertical="center"/>
    </xf>
    <xf numFmtId="0" fontId="27" fillId="2" borderId="1" xfId="0" applyFont="1" applyFill="1" applyBorder="1" applyAlignment="1">
      <alignment horizontal="left" vertical="center" wrapText="1"/>
    </xf>
    <xf numFmtId="0" fontId="27" fillId="12" borderId="1" xfId="0" applyFont="1" applyFill="1" applyBorder="1" applyAlignment="1">
      <alignment horizontal="left" vertical="center" wrapText="1"/>
    </xf>
    <xf numFmtId="1" fontId="1" fillId="2" borderId="0" xfId="0" applyNumberFormat="1" applyFont="1" applyFill="1"/>
    <xf numFmtId="10" fontId="35" fillId="2" borderId="1" xfId="2" applyNumberFormat="1" applyFont="1" applyFill="1" applyBorder="1" applyAlignment="1">
      <alignment horizontal="center"/>
    </xf>
    <xf numFmtId="0" fontId="21" fillId="2" borderId="1" xfId="0" applyFont="1" applyFill="1" applyBorder="1" applyAlignment="1">
      <alignment vertical="top"/>
    </xf>
    <xf numFmtId="10" fontId="21" fillId="2" borderId="1" xfId="2" applyNumberFormat="1" applyFont="1" applyFill="1" applyBorder="1" applyAlignment="1">
      <alignment horizontal="center"/>
    </xf>
    <xf numFmtId="10" fontId="29" fillId="2" borderId="0" xfId="2" applyNumberFormat="1" applyFont="1" applyFill="1" applyBorder="1" applyAlignment="1">
      <alignment horizontal="center"/>
    </xf>
    <xf numFmtId="10" fontId="1" fillId="2" borderId="0" xfId="2" applyNumberFormat="1" applyFont="1" applyFill="1" applyBorder="1" applyAlignment="1">
      <alignment horizontal="center"/>
    </xf>
    <xf numFmtId="0" fontId="1" fillId="18" borderId="1" xfId="0" applyFont="1" applyFill="1" applyBorder="1" applyAlignment="1" applyProtection="1">
      <alignment horizontal="center" vertical="center"/>
      <protection locked="0"/>
    </xf>
    <xf numFmtId="0" fontId="1" fillId="2" borderId="6" xfId="0" applyFont="1" applyFill="1" applyBorder="1" applyAlignment="1">
      <alignment vertical="top"/>
    </xf>
    <xf numFmtId="0" fontId="3" fillId="2" borderId="1" xfId="0" applyFont="1" applyFill="1" applyBorder="1"/>
    <xf numFmtId="0" fontId="3" fillId="2" borderId="1" xfId="0" applyFont="1" applyFill="1" applyBorder="1" applyAlignment="1">
      <alignment vertical="top"/>
    </xf>
    <xf numFmtId="0" fontId="3" fillId="12" borderId="1" xfId="0" applyFont="1" applyFill="1" applyBorder="1" applyAlignment="1">
      <alignment vertical="top"/>
    </xf>
    <xf numFmtId="9" fontId="1" fillId="2" borderId="1" xfId="2" applyFont="1" applyFill="1" applyBorder="1"/>
    <xf numFmtId="0" fontId="0" fillId="0" borderId="0" xfId="0" applyAlignment="1">
      <alignment vertical="top" wrapText="1"/>
    </xf>
    <xf numFmtId="0" fontId="6" fillId="0" borderId="0" xfId="0" applyFont="1" applyAlignment="1">
      <alignment vertical="top" wrapText="1"/>
    </xf>
    <xf numFmtId="9" fontId="0" fillId="0" borderId="0" xfId="2" applyFont="1" applyAlignment="1">
      <alignment vertical="top" wrapText="1"/>
    </xf>
    <xf numFmtId="0" fontId="6" fillId="0" borderId="0" xfId="0" applyFont="1" applyAlignment="1">
      <alignment horizontal="right" vertical="top" wrapText="1"/>
    </xf>
    <xf numFmtId="17" fontId="6" fillId="0" borderId="0" xfId="0" applyNumberFormat="1" applyFont="1" applyAlignment="1">
      <alignment vertical="top" wrapText="1"/>
    </xf>
    <xf numFmtId="166" fontId="0" fillId="0" borderId="0" xfId="2" applyNumberFormat="1" applyFont="1" applyAlignment="1">
      <alignment vertical="top" wrapText="1"/>
    </xf>
    <xf numFmtId="9" fontId="1" fillId="2" borderId="75" xfId="2" applyFont="1" applyFill="1" applyBorder="1" applyProtection="1">
      <protection locked="0"/>
    </xf>
    <xf numFmtId="9" fontId="1" fillId="2" borderId="0" xfId="0" applyNumberFormat="1" applyFont="1" applyFill="1"/>
    <xf numFmtId="17" fontId="1" fillId="2" borderId="0" xfId="0" applyNumberFormat="1" applyFont="1" applyFill="1"/>
    <xf numFmtId="0" fontId="1" fillId="2" borderId="1" xfId="0" applyFont="1" applyFill="1" applyBorder="1" applyAlignment="1">
      <alignment horizontal="center" vertical="center"/>
    </xf>
    <xf numFmtId="9" fontId="3" fillId="2" borderId="1" xfId="2" applyFont="1" applyFill="1" applyBorder="1"/>
    <xf numFmtId="6" fontId="1" fillId="2" borderId="1" xfId="21" applyNumberFormat="1" applyFont="1" applyFill="1" applyBorder="1" applyAlignment="1">
      <alignment horizontal="right" vertical="center"/>
    </xf>
    <xf numFmtId="6" fontId="1" fillId="2" borderId="1" xfId="0" applyNumberFormat="1" applyFont="1" applyFill="1" applyBorder="1" applyProtection="1">
      <protection locked="0"/>
    </xf>
    <xf numFmtId="42" fontId="1" fillId="2" borderId="1" xfId="40" applyFont="1" applyFill="1" applyBorder="1" applyAlignment="1">
      <alignment horizontal="center" vertical="center"/>
    </xf>
    <xf numFmtId="42" fontId="1" fillId="12" borderId="1" xfId="40" applyFont="1" applyFill="1" applyBorder="1" applyAlignment="1">
      <alignment horizontal="center" vertical="center"/>
    </xf>
    <xf numFmtId="171" fontId="3" fillId="2" borderId="1" xfId="0" applyNumberFormat="1" applyFont="1" applyFill="1" applyBorder="1" applyAlignment="1">
      <alignment horizontal="center" vertical="center"/>
    </xf>
    <xf numFmtId="10" fontId="1" fillId="2" borderId="0" xfId="2" applyNumberFormat="1" applyFont="1" applyFill="1"/>
    <xf numFmtId="10" fontId="1" fillId="2" borderId="0" xfId="0" applyNumberFormat="1" applyFont="1" applyFill="1" applyProtection="1">
      <protection locked="0"/>
    </xf>
    <xf numFmtId="10" fontId="1" fillId="2" borderId="0" xfId="0" applyNumberFormat="1" applyFont="1" applyFill="1"/>
    <xf numFmtId="0" fontId="1" fillId="2" borderId="1" xfId="0" applyFont="1" applyFill="1" applyBorder="1" applyAlignment="1">
      <alignment horizontal="left" vertical="top"/>
    </xf>
    <xf numFmtId="0" fontId="1" fillId="2" borderId="1" xfId="0" applyFont="1" applyFill="1" applyBorder="1" applyAlignment="1">
      <alignment horizontal="left" vertical="center"/>
    </xf>
    <xf numFmtId="0" fontId="3" fillId="2" borderId="1" xfId="0" applyFont="1" applyFill="1" applyBorder="1" applyAlignment="1">
      <alignment horizontal="left" vertical="center"/>
    </xf>
    <xf numFmtId="0" fontId="3" fillId="2" borderId="36" xfId="0" applyFont="1" applyFill="1" applyBorder="1" applyAlignment="1" applyProtection="1">
      <alignment horizontal="center" vertical="center"/>
      <protection locked="0"/>
    </xf>
    <xf numFmtId="166" fontId="1" fillId="2" borderId="1" xfId="0" applyNumberFormat="1" applyFont="1" applyFill="1" applyBorder="1" applyAlignment="1">
      <alignment horizontal="center" vertical="center"/>
    </xf>
    <xf numFmtId="0" fontId="1" fillId="2" borderId="0" xfId="0" applyFont="1" applyFill="1" applyAlignment="1">
      <alignment horizontal="left"/>
    </xf>
    <xf numFmtId="2" fontId="1" fillId="2" borderId="0" xfId="0" applyNumberFormat="1" applyFont="1" applyFill="1" applyAlignment="1">
      <alignment horizontal="left"/>
    </xf>
    <xf numFmtId="9" fontId="3" fillId="2" borderId="1" xfId="2" applyFont="1" applyFill="1" applyBorder="1" applyAlignment="1">
      <alignment horizontal="center" vertical="center"/>
    </xf>
    <xf numFmtId="0" fontId="1" fillId="2" borderId="18" xfId="0" applyFont="1" applyFill="1" applyBorder="1" applyAlignment="1">
      <alignment vertical="top" wrapText="1"/>
    </xf>
    <xf numFmtId="9" fontId="1" fillId="2" borderId="18" xfId="0" applyNumberFormat="1" applyFont="1" applyFill="1" applyBorder="1" applyAlignment="1">
      <alignment horizontal="left" vertical="top" wrapText="1"/>
    </xf>
    <xf numFmtId="174" fontId="1" fillId="2" borderId="0" xfId="0" applyNumberFormat="1" applyFont="1" applyFill="1"/>
    <xf numFmtId="0" fontId="39" fillId="2" borderId="0" xfId="0" applyFont="1" applyFill="1" applyAlignment="1">
      <alignment vertical="top"/>
    </xf>
    <xf numFmtId="0" fontId="39" fillId="2" borderId="17" xfId="0" applyFont="1" applyFill="1" applyBorder="1" applyAlignment="1">
      <alignment vertical="top"/>
    </xf>
    <xf numFmtId="0" fontId="39" fillId="2" borderId="18" xfId="0" applyFont="1" applyFill="1" applyBorder="1" applyAlignment="1">
      <alignment vertical="top"/>
    </xf>
    <xf numFmtId="0" fontId="39" fillId="2" borderId="18" xfId="0" applyFont="1" applyFill="1" applyBorder="1" applyAlignment="1">
      <alignment vertical="top" wrapText="1"/>
    </xf>
    <xf numFmtId="0" fontId="1" fillId="2" borderId="32" xfId="0" applyFont="1" applyFill="1" applyBorder="1" applyAlignment="1">
      <alignment vertical="top"/>
    </xf>
    <xf numFmtId="9" fontId="1" fillId="2" borderId="1" xfId="2" applyFont="1" applyFill="1" applyBorder="1" applyAlignment="1" applyProtection="1">
      <alignment horizontal="center" vertical="center"/>
      <protection locked="0"/>
    </xf>
    <xf numFmtId="10" fontId="1" fillId="2" borderId="1" xfId="1" applyNumberFormat="1" applyFont="1" applyFill="1" applyBorder="1" applyAlignment="1" applyProtection="1">
      <alignment horizontal="center" vertical="center"/>
      <protection locked="0"/>
    </xf>
    <xf numFmtId="0" fontId="3" fillId="10" borderId="1" xfId="0" applyFont="1" applyFill="1" applyBorder="1" applyAlignment="1">
      <alignment horizontal="center" vertical="center" wrapText="1"/>
    </xf>
    <xf numFmtId="10" fontId="1" fillId="2" borderId="1" xfId="2" applyNumberFormat="1" applyFont="1" applyFill="1" applyBorder="1" applyAlignment="1" applyProtection="1">
      <alignment horizontal="center" vertical="center"/>
      <protection locked="0"/>
    </xf>
    <xf numFmtId="166" fontId="1" fillId="2" borderId="1" xfId="2" applyNumberFormat="1" applyFont="1" applyFill="1" applyBorder="1" applyAlignment="1" applyProtection="1">
      <alignment horizontal="center" vertical="center"/>
      <protection locked="0"/>
    </xf>
    <xf numFmtId="0" fontId="3" fillId="21" borderId="1" xfId="0" applyFont="1" applyFill="1" applyBorder="1" applyAlignment="1" applyProtection="1">
      <alignment horizontal="center" vertical="center"/>
      <protection locked="0"/>
    </xf>
    <xf numFmtId="0" fontId="3" fillId="2" borderId="10" xfId="0" applyFont="1" applyFill="1" applyBorder="1" applyAlignment="1" applyProtection="1">
      <alignment vertical="top"/>
      <protection locked="0"/>
    </xf>
    <xf numFmtId="0" fontId="3" fillId="2" borderId="1" xfId="0" applyFont="1" applyFill="1" applyBorder="1" applyAlignment="1">
      <alignment horizontal="right" vertical="top"/>
    </xf>
    <xf numFmtId="10" fontId="1" fillId="2" borderId="22" xfId="0" applyNumberFormat="1" applyFont="1" applyFill="1" applyBorder="1" applyAlignment="1" applyProtection="1">
      <alignment horizontal="center" vertical="center"/>
      <protection locked="0"/>
    </xf>
    <xf numFmtId="0" fontId="0" fillId="0" borderId="1" xfId="0" applyBorder="1" applyAlignment="1">
      <alignment horizontal="center" vertical="top"/>
    </xf>
    <xf numFmtId="9" fontId="0" fillId="0" borderId="1" xfId="2" applyFont="1" applyBorder="1" applyAlignment="1">
      <alignment horizontal="left" vertical="top" wrapText="1"/>
    </xf>
    <xf numFmtId="9" fontId="0" fillId="0" borderId="1" xfId="2" applyFont="1" applyBorder="1" applyAlignment="1">
      <alignment horizontal="center" vertical="top" wrapText="1"/>
    </xf>
    <xf numFmtId="9" fontId="0" fillId="0" borderId="1" xfId="0" applyNumberFormat="1" applyBorder="1" applyAlignment="1">
      <alignment horizontal="center" vertical="center"/>
    </xf>
    <xf numFmtId="0" fontId="6" fillId="0" borderId="1" xfId="0" applyFont="1" applyBorder="1" applyAlignment="1">
      <alignment horizontal="left" vertical="top"/>
    </xf>
    <xf numFmtId="0" fontId="6" fillId="0" borderId="1" xfId="0" applyFont="1" applyBorder="1" applyAlignment="1">
      <alignment horizontal="left" vertical="top" wrapText="1"/>
    </xf>
    <xf numFmtId="0" fontId="0" fillId="8" borderId="1" xfId="0" applyFill="1" applyBorder="1" applyAlignment="1">
      <alignment horizontal="center" vertical="center" wrapText="1"/>
    </xf>
    <xf numFmtId="0" fontId="1" fillId="2" borderId="0" xfId="0" applyFont="1" applyFill="1" applyAlignment="1">
      <alignment horizontal="center" vertical="center" wrapText="1"/>
    </xf>
    <xf numFmtId="9" fontId="1" fillId="2" borderId="1" xfId="0" applyNumberFormat="1" applyFont="1" applyFill="1" applyBorder="1" applyAlignment="1" applyProtection="1">
      <alignment horizontal="center" vertical="center"/>
      <protection locked="0"/>
    </xf>
    <xf numFmtId="166" fontId="29" fillId="15" borderId="1" xfId="2" applyNumberFormat="1" applyFont="1" applyFill="1" applyBorder="1" applyAlignment="1" applyProtection="1">
      <alignment horizontal="center" vertical="center"/>
    </xf>
    <xf numFmtId="0" fontId="39" fillId="2" borderId="0" xfId="0" applyFont="1" applyFill="1"/>
    <xf numFmtId="0" fontId="39" fillId="2" borderId="0" xfId="0" applyFont="1" applyFill="1" applyAlignment="1">
      <alignment horizontal="right"/>
    </xf>
    <xf numFmtId="0" fontId="39" fillId="2" borderId="0" xfId="0" applyFont="1" applyFill="1" applyAlignment="1" applyProtection="1">
      <alignment horizontal="right"/>
      <protection locked="0"/>
    </xf>
    <xf numFmtId="0" fontId="39" fillId="2" borderId="0" xfId="0" applyFont="1" applyFill="1" applyAlignment="1">
      <alignment horizontal="left" vertical="top"/>
    </xf>
    <xf numFmtId="0" fontId="39" fillId="2" borderId="0" xfId="0" applyFont="1" applyFill="1" applyAlignment="1">
      <alignment horizontal="left" vertical="center"/>
    </xf>
    <xf numFmtId="0" fontId="1" fillId="2" borderId="6" xfId="0" applyFont="1" applyFill="1" applyBorder="1" applyAlignment="1" applyProtection="1">
      <alignment horizontal="center" vertical="center"/>
      <protection locked="0"/>
    </xf>
    <xf numFmtId="9" fontId="1" fillId="2" borderId="1" xfId="2" applyFont="1" applyFill="1" applyBorder="1" applyAlignment="1">
      <alignment vertical="center"/>
    </xf>
    <xf numFmtId="9" fontId="1" fillId="2" borderId="1" xfId="0" applyNumberFormat="1" applyFont="1" applyFill="1" applyBorder="1" applyAlignment="1">
      <alignment vertical="center"/>
    </xf>
    <xf numFmtId="0" fontId="3" fillId="0" borderId="1" xfId="0" applyFont="1" applyBorder="1" applyAlignment="1">
      <alignment horizontal="center" vertical="center"/>
    </xf>
    <xf numFmtId="0" fontId="1" fillId="0" borderId="1" xfId="0" applyFont="1" applyBorder="1" applyAlignment="1" applyProtection="1">
      <alignment horizontal="center" vertical="center"/>
      <protection locked="0"/>
    </xf>
    <xf numFmtId="9" fontId="1" fillId="2" borderId="22" xfId="2" applyFont="1" applyFill="1" applyBorder="1" applyAlignment="1" applyProtection="1">
      <alignment horizontal="center" vertical="center"/>
    </xf>
    <xf numFmtId="0" fontId="1" fillId="0" borderId="0" xfId="0" applyFont="1"/>
    <xf numFmtId="9" fontId="1" fillId="2" borderId="1" xfId="0" applyNumberFormat="1" applyFont="1" applyFill="1" applyBorder="1"/>
    <xf numFmtId="0" fontId="3" fillId="2" borderId="1" xfId="0" applyFont="1" applyFill="1" applyBorder="1" applyAlignment="1">
      <alignment horizontal="left" vertical="top"/>
    </xf>
    <xf numFmtId="0" fontId="3" fillId="2" borderId="1" xfId="0" applyFont="1" applyFill="1" applyBorder="1" applyAlignment="1">
      <alignment vertical="top" wrapText="1"/>
    </xf>
    <xf numFmtId="0" fontId="3" fillId="2" borderId="0" xfId="0" applyFont="1" applyFill="1" applyProtection="1">
      <protection locked="0"/>
    </xf>
    <xf numFmtId="9" fontId="26" fillId="18" borderId="0" xfId="0" applyNumberFormat="1" applyFont="1" applyFill="1" applyAlignment="1">
      <alignment horizontal="center" vertical="center"/>
    </xf>
    <xf numFmtId="9" fontId="1" fillId="2" borderId="22" xfId="2" applyFont="1" applyFill="1" applyBorder="1" applyAlignment="1">
      <alignment horizontal="center" vertical="center"/>
    </xf>
    <xf numFmtId="9" fontId="1" fillId="0" borderId="51" xfId="0" applyNumberFormat="1" applyFont="1" applyBorder="1" applyAlignment="1">
      <alignment horizontal="center" vertical="top"/>
    </xf>
    <xf numFmtId="9" fontId="1" fillId="0" borderId="56" xfId="0" applyNumberFormat="1" applyFont="1" applyBorder="1" applyAlignment="1">
      <alignment horizontal="center" vertical="top"/>
    </xf>
    <xf numFmtId="0" fontId="1" fillId="2" borderId="1" xfId="0" applyFont="1" applyFill="1" applyBorder="1" applyAlignment="1">
      <alignment horizontal="center"/>
    </xf>
    <xf numFmtId="1" fontId="34" fillId="2" borderId="1" xfId="0" applyNumberFormat="1" applyFont="1" applyFill="1" applyBorder="1" applyAlignment="1">
      <alignment horizontal="center" vertical="center"/>
    </xf>
    <xf numFmtId="0" fontId="35" fillId="0" borderId="1" xfId="0" applyFont="1" applyBorder="1" applyAlignment="1">
      <alignment horizontal="center" vertical="center"/>
    </xf>
    <xf numFmtId="9" fontId="35" fillId="2" borderId="1" xfId="2" applyFont="1" applyFill="1" applyBorder="1" applyAlignment="1">
      <alignment horizontal="center" vertical="center"/>
    </xf>
    <xf numFmtId="9" fontId="21" fillId="2" borderId="1" xfId="2" applyFont="1" applyFill="1" applyBorder="1" applyAlignment="1">
      <alignment horizontal="center" vertical="center"/>
    </xf>
    <xf numFmtId="9" fontId="3" fillId="2" borderId="75" xfId="2" applyFont="1" applyFill="1" applyBorder="1" applyAlignment="1" applyProtection="1">
      <alignment horizontal="center" vertical="center"/>
    </xf>
    <xf numFmtId="0" fontId="4" fillId="2" borderId="17" xfId="0" applyFont="1" applyFill="1" applyBorder="1" applyAlignment="1">
      <alignment vertical="top"/>
    </xf>
    <xf numFmtId="0" fontId="3" fillId="2" borderId="0" xfId="0" applyFont="1" applyFill="1"/>
    <xf numFmtId="10" fontId="1" fillId="0" borderId="54" xfId="0" applyNumberFormat="1" applyFont="1" applyBorder="1" applyAlignment="1">
      <alignment horizontal="center" vertical="top"/>
    </xf>
    <xf numFmtId="10" fontId="1" fillId="0" borderId="0" xfId="0" applyNumberFormat="1" applyFont="1" applyAlignment="1">
      <alignment horizontal="center" vertical="top"/>
    </xf>
    <xf numFmtId="9" fontId="0" fillId="2" borderId="1" xfId="4" applyNumberFormat="1" applyFont="1" applyFill="1" applyBorder="1" applyAlignment="1">
      <alignment horizontal="center" vertical="center"/>
    </xf>
    <xf numFmtId="9" fontId="1" fillId="2" borderId="22" xfId="2" applyFont="1" applyFill="1" applyBorder="1" applyAlignment="1" applyProtection="1">
      <alignment horizontal="center" vertical="center"/>
      <protection locked="0"/>
    </xf>
    <xf numFmtId="9" fontId="1" fillId="2" borderId="23" xfId="2" applyFont="1" applyFill="1" applyBorder="1" applyAlignment="1" applyProtection="1">
      <alignment horizontal="center" vertical="center"/>
      <protection locked="0"/>
    </xf>
    <xf numFmtId="9" fontId="1" fillId="0" borderId="51" xfId="0" applyNumberFormat="1" applyFont="1" applyBorder="1" applyAlignment="1">
      <alignment horizontal="center" vertical="center"/>
    </xf>
    <xf numFmtId="9" fontId="1" fillId="0" borderId="52" xfId="0" applyNumberFormat="1" applyFont="1" applyBorder="1" applyAlignment="1">
      <alignment horizontal="center" vertical="center"/>
    </xf>
    <xf numFmtId="9" fontId="1" fillId="0" borderId="54" xfId="0" applyNumberFormat="1" applyFont="1" applyBorder="1" applyAlignment="1">
      <alignment horizontal="center" vertical="center"/>
    </xf>
    <xf numFmtId="9" fontId="1" fillId="0" borderId="0" xfId="0" applyNumberFormat="1" applyFont="1" applyAlignment="1">
      <alignment horizontal="center" vertical="center"/>
    </xf>
    <xf numFmtId="9" fontId="1" fillId="0" borderId="55" xfId="0" applyNumberFormat="1" applyFont="1" applyBorder="1" applyAlignment="1">
      <alignment horizontal="center" vertical="center"/>
    </xf>
    <xf numFmtId="9" fontId="6" fillId="0" borderId="1" xfId="2" applyFont="1" applyBorder="1" applyAlignment="1">
      <alignment horizontal="center" vertical="center" wrapText="1"/>
    </xf>
    <xf numFmtId="10" fontId="5" fillId="0" borderId="1" xfId="2" applyNumberFormat="1" applyFont="1" applyBorder="1" applyAlignment="1">
      <alignment horizontal="center" vertical="center" wrapText="1"/>
    </xf>
    <xf numFmtId="10" fontId="3" fillId="2" borderId="23" xfId="2" applyNumberFormat="1" applyFont="1" applyFill="1" applyBorder="1" applyAlignment="1" applyProtection="1">
      <alignment horizontal="center" vertical="center"/>
    </xf>
    <xf numFmtId="1" fontId="1" fillId="2" borderId="1" xfId="0" applyNumberFormat="1" applyFont="1" applyFill="1" applyBorder="1" applyAlignment="1" applyProtection="1">
      <alignment horizontal="center" vertical="center"/>
      <protection locked="0"/>
    </xf>
    <xf numFmtId="0" fontId="0" fillId="0" borderId="1" xfId="0" applyBorder="1"/>
    <xf numFmtId="14" fontId="0" fillId="0" borderId="1" xfId="0" applyNumberFormat="1" applyBorder="1"/>
    <xf numFmtId="0" fontId="1" fillId="2" borderId="27" xfId="0" applyFont="1" applyFill="1" applyBorder="1" applyAlignment="1" applyProtection="1">
      <alignment horizontal="right" vertical="top"/>
      <protection locked="0"/>
    </xf>
    <xf numFmtId="0" fontId="1" fillId="2" borderId="30" xfId="0" applyFont="1" applyFill="1" applyBorder="1" applyAlignment="1" applyProtection="1">
      <alignment horizontal="right" vertical="top"/>
      <protection locked="0"/>
    </xf>
    <xf numFmtId="0" fontId="0" fillId="0" borderId="1" xfId="0" applyBorder="1" applyAlignment="1">
      <alignment horizontal="center" vertical="center"/>
    </xf>
    <xf numFmtId="0" fontId="0" fillId="0" borderId="1" xfId="0" applyBorder="1" applyAlignment="1">
      <alignment vertical="top"/>
    </xf>
    <xf numFmtId="166" fontId="0" fillId="0" borderId="10" xfId="2" applyNumberFormat="1" applyFont="1" applyBorder="1" applyAlignment="1">
      <alignment horizontal="centerContinuous" vertical="top"/>
    </xf>
    <xf numFmtId="166" fontId="0" fillId="0" borderId="11" xfId="2" applyNumberFormat="1" applyFont="1" applyBorder="1" applyAlignment="1">
      <alignment horizontal="centerContinuous" vertical="top"/>
    </xf>
    <xf numFmtId="0" fontId="0" fillId="0" borderId="8" xfId="0" applyBorder="1" applyAlignment="1">
      <alignment horizontal="centerContinuous" vertical="top"/>
    </xf>
    <xf numFmtId="0" fontId="0" fillId="0" borderId="9" xfId="0" applyBorder="1" applyAlignment="1">
      <alignment vertical="top"/>
    </xf>
    <xf numFmtId="0" fontId="0" fillId="0" borderId="36" xfId="0" applyBorder="1" applyAlignment="1">
      <alignment vertical="top"/>
    </xf>
    <xf numFmtId="0" fontId="0" fillId="0" borderId="13" xfId="0" applyBorder="1" applyAlignment="1">
      <alignment horizontal="center" vertical="top"/>
    </xf>
    <xf numFmtId="0" fontId="0" fillId="0" borderId="7" xfId="0" applyBorder="1" applyAlignment="1">
      <alignment vertical="top"/>
    </xf>
    <xf numFmtId="0" fontId="0" fillId="0" borderId="9" xfId="0" applyBorder="1" applyAlignment="1">
      <alignment horizontal="center" vertical="top"/>
    </xf>
    <xf numFmtId="0" fontId="0" fillId="0" borderId="12" xfId="0" applyBorder="1" applyAlignment="1">
      <alignment vertical="top"/>
    </xf>
    <xf numFmtId="0" fontId="0" fillId="0" borderId="5" xfId="0" applyBorder="1" applyAlignment="1">
      <alignment vertical="top"/>
    </xf>
    <xf numFmtId="0" fontId="0" fillId="3" borderId="38" xfId="0" applyFill="1" applyBorder="1" applyAlignment="1">
      <alignment horizontal="center" vertical="top"/>
    </xf>
    <xf numFmtId="0" fontId="0" fillId="3" borderId="39" xfId="0" applyFill="1" applyBorder="1" applyAlignment="1">
      <alignment horizontal="center" vertical="top"/>
    </xf>
    <xf numFmtId="0" fontId="0" fillId="0" borderId="33" xfId="0" applyBorder="1" applyAlignment="1">
      <alignment horizontal="center" vertical="top"/>
    </xf>
    <xf numFmtId="0" fontId="0" fillId="0" borderId="40" xfId="0" applyBorder="1" applyAlignment="1">
      <alignment horizontal="center" vertical="top"/>
    </xf>
    <xf numFmtId="0" fontId="0" fillId="0" borderId="29" xfId="0" applyBorder="1" applyAlignment="1">
      <alignment horizontal="center" vertical="top"/>
    </xf>
    <xf numFmtId="0" fontId="0" fillId="0" borderId="41" xfId="0" applyBorder="1" applyAlignment="1">
      <alignment horizontal="center" vertical="top"/>
    </xf>
    <xf numFmtId="0" fontId="22" fillId="0" borderId="33" xfId="0" applyFont="1" applyBorder="1" applyAlignment="1">
      <alignment horizontal="center" vertical="top"/>
    </xf>
    <xf numFmtId="0" fontId="22" fillId="0" borderId="40" xfId="0" applyFont="1" applyBorder="1" applyAlignment="1">
      <alignment horizontal="center" vertical="top"/>
    </xf>
    <xf numFmtId="9" fontId="1" fillId="2" borderId="1" xfId="0" applyNumberFormat="1" applyFont="1" applyFill="1" applyBorder="1" applyAlignment="1">
      <alignment horizontal="center" vertical="center"/>
    </xf>
    <xf numFmtId="0" fontId="0" fillId="0" borderId="37" xfId="2" applyNumberFormat="1" applyFont="1" applyBorder="1" applyAlignment="1">
      <alignment horizontal="center" vertical="top"/>
    </xf>
    <xf numFmtId="0" fontId="1" fillId="2" borderId="77" xfId="0" applyFont="1" applyFill="1" applyBorder="1"/>
    <xf numFmtId="0" fontId="41" fillId="2" borderId="0" xfId="0" applyFont="1" applyFill="1" applyAlignment="1">
      <alignment vertical="top"/>
    </xf>
    <xf numFmtId="0" fontId="41" fillId="2" borderId="0" xfId="0" applyFont="1" applyFill="1"/>
    <xf numFmtId="0" fontId="41" fillId="2" borderId="0" xfId="0" applyFont="1" applyFill="1" applyAlignment="1">
      <alignment horizontal="right"/>
    </xf>
    <xf numFmtId="0" fontId="41" fillId="2" borderId="0" xfId="0" applyFont="1" applyFill="1" applyAlignment="1" applyProtection="1">
      <alignment horizontal="right"/>
      <protection locked="0"/>
    </xf>
    <xf numFmtId="0" fontId="41" fillId="2" borderId="1" xfId="0" applyFont="1" applyFill="1" applyBorder="1" applyAlignment="1" applyProtection="1">
      <alignment horizontal="center"/>
      <protection locked="0"/>
    </xf>
    <xf numFmtId="0" fontId="43" fillId="0" borderId="1" xfId="0" applyFont="1" applyBorder="1" applyAlignment="1">
      <alignment horizontal="left" vertical="center"/>
    </xf>
    <xf numFmtId="0" fontId="43" fillId="0" borderId="1" xfId="0" applyFont="1" applyBorder="1" applyAlignment="1">
      <alignment horizontal="left" vertical="center" wrapText="1"/>
    </xf>
    <xf numFmtId="0" fontId="39" fillId="2" borderId="1" xfId="0" applyFont="1" applyFill="1" applyBorder="1" applyAlignment="1" applyProtection="1">
      <alignment horizontal="center"/>
      <protection locked="0"/>
    </xf>
    <xf numFmtId="0" fontId="40" fillId="18" borderId="6" xfId="0" applyFont="1" applyFill="1" applyBorder="1" applyAlignment="1">
      <alignment horizontal="center" vertical="center"/>
    </xf>
    <xf numFmtId="0" fontId="39" fillId="2" borderId="26" xfId="0" applyFont="1" applyFill="1" applyBorder="1" applyAlignment="1" applyProtection="1">
      <alignment horizontal="right" vertical="top"/>
      <protection locked="0"/>
    </xf>
    <xf numFmtId="0" fontId="39" fillId="2" borderId="29" xfId="0" applyFont="1" applyFill="1" applyBorder="1" applyAlignment="1" applyProtection="1">
      <alignment horizontal="right" vertical="top"/>
      <protection locked="0"/>
    </xf>
    <xf numFmtId="0" fontId="39" fillId="2" borderId="33" xfId="0" applyFont="1" applyFill="1" applyBorder="1" applyAlignment="1" applyProtection="1">
      <alignment horizontal="right" vertical="top"/>
      <protection locked="0"/>
    </xf>
    <xf numFmtId="0" fontId="45" fillId="0" borderId="1" xfId="0" applyFont="1" applyBorder="1" applyAlignment="1">
      <alignment horizontal="left" vertical="center"/>
    </xf>
    <xf numFmtId="9" fontId="44" fillId="0" borderId="1" xfId="0" applyNumberFormat="1" applyFont="1" applyBorder="1" applyAlignment="1">
      <alignment horizontal="center" vertical="center"/>
    </xf>
    <xf numFmtId="0" fontId="45" fillId="0" borderId="1" xfId="0" applyFont="1" applyBorder="1" applyAlignment="1">
      <alignment horizontal="left" vertical="center" wrapText="1"/>
    </xf>
    <xf numFmtId="173" fontId="44" fillId="16" borderId="1" xfId="4" applyNumberFormat="1" applyFont="1" applyFill="1" applyBorder="1" applyAlignment="1">
      <alignment horizontal="center" vertical="center"/>
    </xf>
    <xf numFmtId="0" fontId="44" fillId="16" borderId="1" xfId="4" applyNumberFormat="1" applyFont="1" applyFill="1" applyBorder="1" applyAlignment="1">
      <alignment horizontal="right" vertical="center"/>
    </xf>
    <xf numFmtId="9" fontId="45" fillId="0" borderId="1" xfId="2" applyFont="1" applyFill="1" applyBorder="1" applyAlignment="1">
      <alignment horizontal="center" vertical="center"/>
    </xf>
    <xf numFmtId="0" fontId="39" fillId="2" borderId="23" xfId="0" applyFont="1" applyFill="1" applyBorder="1" applyAlignment="1">
      <alignment vertical="top"/>
    </xf>
    <xf numFmtId="0" fontId="46" fillId="2" borderId="0" xfId="0" applyFont="1" applyFill="1" applyAlignment="1">
      <alignment vertical="top"/>
    </xf>
    <xf numFmtId="0" fontId="46" fillId="2" borderId="0" xfId="0" applyFont="1" applyFill="1"/>
    <xf numFmtId="0" fontId="46" fillId="2" borderId="0" xfId="0" applyFont="1" applyFill="1" applyAlignment="1">
      <alignment horizontal="right"/>
    </xf>
    <xf numFmtId="0" fontId="46" fillId="2" borderId="0" xfId="0" applyFont="1" applyFill="1" applyAlignment="1" applyProtection="1">
      <alignment horizontal="right"/>
      <protection locked="0"/>
    </xf>
    <xf numFmtId="0" fontId="46" fillId="2" borderId="17" xfId="0" applyFont="1" applyFill="1" applyBorder="1" applyAlignment="1">
      <alignment vertical="top"/>
    </xf>
    <xf numFmtId="0" fontId="46" fillId="2" borderId="18" xfId="0" applyFont="1" applyFill="1" applyBorder="1" applyAlignment="1">
      <alignment vertical="top"/>
    </xf>
    <xf numFmtId="0" fontId="46" fillId="2" borderId="0" xfId="0" applyFont="1" applyFill="1" applyAlignment="1">
      <alignment horizontal="left" vertical="top"/>
    </xf>
    <xf numFmtId="0" fontId="46" fillId="2" borderId="0" xfId="0" applyFont="1" applyFill="1" applyAlignment="1">
      <alignment horizontal="left" vertical="center"/>
    </xf>
    <xf numFmtId="9" fontId="46" fillId="2" borderId="1" xfId="0" applyNumberFormat="1" applyFont="1" applyFill="1" applyBorder="1"/>
    <xf numFmtId="0" fontId="46" fillId="2" borderId="23" xfId="0" applyFont="1" applyFill="1" applyBorder="1" applyAlignment="1">
      <alignment vertical="top"/>
    </xf>
    <xf numFmtId="0" fontId="46" fillId="2" borderId="32" xfId="0" applyFont="1" applyFill="1" applyBorder="1" applyAlignment="1">
      <alignment vertical="top"/>
    </xf>
    <xf numFmtId="9" fontId="46" fillId="2" borderId="24" xfId="0" applyNumberFormat="1" applyFont="1" applyFill="1" applyBorder="1"/>
    <xf numFmtId="9" fontId="46" fillId="2" borderId="11" xfId="0" applyNumberFormat="1" applyFont="1" applyFill="1" applyBorder="1"/>
    <xf numFmtId="0" fontId="47" fillId="2" borderId="10" xfId="0" applyFont="1" applyFill="1" applyBorder="1" applyAlignment="1" applyProtection="1">
      <alignment vertical="top"/>
      <protection locked="0"/>
    </xf>
    <xf numFmtId="0" fontId="47" fillId="2" borderId="24" xfId="0" applyFont="1" applyFill="1" applyBorder="1" applyAlignment="1" applyProtection="1">
      <alignment vertical="top"/>
      <protection locked="0"/>
    </xf>
    <xf numFmtId="0" fontId="47" fillId="2" borderId="24" xfId="0" applyFont="1" applyFill="1" applyBorder="1" applyProtection="1">
      <protection locked="0"/>
    </xf>
    <xf numFmtId="0" fontId="47" fillId="2" borderId="11" xfId="0" applyFont="1" applyFill="1" applyBorder="1" applyProtection="1">
      <protection locked="0"/>
    </xf>
    <xf numFmtId="0" fontId="47" fillId="2" borderId="1" xfId="0" applyFont="1" applyFill="1" applyBorder="1" applyAlignment="1">
      <alignment horizontal="right" vertical="top"/>
    </xf>
    <xf numFmtId="0" fontId="46" fillId="2" borderId="1" xfId="0" applyFont="1" applyFill="1" applyBorder="1" applyAlignment="1" applyProtection="1">
      <alignment horizontal="right" vertical="top"/>
      <protection locked="0"/>
    </xf>
    <xf numFmtId="0" fontId="46" fillId="2" borderId="25" xfId="0" applyFont="1" applyFill="1" applyBorder="1" applyAlignment="1" applyProtection="1">
      <alignment horizontal="right" vertical="top"/>
      <protection locked="0"/>
    </xf>
    <xf numFmtId="0" fontId="46" fillId="2" borderId="73" xfId="0" applyFont="1" applyFill="1" applyBorder="1" applyAlignment="1" applyProtection="1">
      <alignment horizontal="right" vertical="top"/>
      <protection locked="0"/>
    </xf>
    <xf numFmtId="0" fontId="46" fillId="2" borderId="33" xfId="0" applyFont="1" applyFill="1" applyBorder="1" applyAlignment="1">
      <alignment horizontal="right" vertical="top"/>
    </xf>
    <xf numFmtId="0" fontId="46" fillId="2" borderId="32" xfId="0" applyFont="1" applyFill="1" applyBorder="1" applyAlignment="1" applyProtection="1">
      <alignment vertical="top" wrapText="1"/>
      <protection locked="0"/>
    </xf>
    <xf numFmtId="0" fontId="46" fillId="18" borderId="0" xfId="0" applyFont="1" applyFill="1"/>
    <xf numFmtId="0" fontId="46" fillId="18" borderId="1" xfId="0" applyFont="1" applyFill="1" applyBorder="1" applyAlignment="1">
      <alignment vertical="top"/>
    </xf>
    <xf numFmtId="0" fontId="47" fillId="18" borderId="1" xfId="0" applyFont="1" applyFill="1" applyBorder="1" applyAlignment="1" applyProtection="1">
      <alignment horizontal="center" vertical="center"/>
      <protection locked="0"/>
    </xf>
    <xf numFmtId="0" fontId="43" fillId="14" borderId="6" xfId="0" applyFont="1" applyFill="1" applyBorder="1" applyAlignment="1">
      <alignment horizontal="left" vertical="center"/>
    </xf>
    <xf numFmtId="17" fontId="43" fillId="18" borderId="6" xfId="0" applyNumberFormat="1" applyFont="1" applyFill="1" applyBorder="1" applyAlignment="1">
      <alignment horizontal="center" vertical="center"/>
    </xf>
    <xf numFmtId="0" fontId="43" fillId="14" borderId="1" xfId="0" applyFont="1" applyFill="1" applyBorder="1" applyAlignment="1">
      <alignment horizontal="left" vertical="center"/>
    </xf>
    <xf numFmtId="9" fontId="48" fillId="0" borderId="1" xfId="0" applyNumberFormat="1" applyFont="1" applyBorder="1" applyAlignment="1">
      <alignment horizontal="center" vertical="center"/>
    </xf>
    <xf numFmtId="173" fontId="48" fillId="16" borderId="1" xfId="4" applyNumberFormat="1" applyFont="1" applyFill="1" applyBorder="1" applyAlignment="1">
      <alignment vertical="center"/>
    </xf>
    <xf numFmtId="173" fontId="48" fillId="16" borderId="1" xfId="4" applyNumberFormat="1" applyFont="1" applyFill="1" applyBorder="1" applyAlignment="1">
      <alignment horizontal="center" vertical="center"/>
    </xf>
    <xf numFmtId="9" fontId="48" fillId="10" borderId="1" xfId="4" applyNumberFormat="1" applyFont="1" applyFill="1" applyBorder="1" applyAlignment="1">
      <alignment horizontal="center" vertical="center"/>
    </xf>
    <xf numFmtId="9" fontId="48" fillId="0" borderId="1" xfId="2" applyFont="1" applyFill="1" applyBorder="1" applyAlignment="1">
      <alignment horizontal="center" vertical="center"/>
    </xf>
    <xf numFmtId="9" fontId="41" fillId="2" borderId="22" xfId="2" applyFont="1" applyFill="1" applyBorder="1" applyAlignment="1">
      <alignment horizontal="center" vertical="center"/>
    </xf>
    <xf numFmtId="0" fontId="39" fillId="13" borderId="1" xfId="0" applyFont="1" applyFill="1" applyBorder="1" applyAlignment="1" applyProtection="1">
      <alignment horizontal="center"/>
      <protection locked="0"/>
    </xf>
    <xf numFmtId="0" fontId="39" fillId="2" borderId="1" xfId="0" applyFont="1" applyFill="1" applyBorder="1" applyAlignment="1" applyProtection="1">
      <alignment horizontal="center" vertical="center"/>
      <protection locked="0"/>
    </xf>
    <xf numFmtId="9" fontId="39" fillId="2" borderId="22" xfId="2" applyFont="1" applyFill="1" applyBorder="1" applyAlignment="1">
      <alignment horizontal="center" vertical="center"/>
    </xf>
    <xf numFmtId="9" fontId="39" fillId="2" borderId="23" xfId="2" applyFont="1" applyFill="1" applyBorder="1" applyAlignment="1" applyProtection="1">
      <alignment horizontal="center" vertical="center"/>
    </xf>
    <xf numFmtId="0" fontId="39" fillId="20" borderId="24" xfId="0" applyFont="1" applyFill="1" applyBorder="1" applyProtection="1">
      <protection locked="0"/>
    </xf>
    <xf numFmtId="0" fontId="39" fillId="20" borderId="11" xfId="0" applyFont="1" applyFill="1" applyBorder="1" applyProtection="1">
      <protection locked="0"/>
    </xf>
    <xf numFmtId="0" fontId="45" fillId="2" borderId="1" xfId="0" applyFont="1" applyFill="1" applyBorder="1" applyAlignment="1">
      <alignment horizontal="left" vertical="center"/>
    </xf>
    <xf numFmtId="17" fontId="45" fillId="2" borderId="1" xfId="0" applyNumberFormat="1" applyFont="1" applyFill="1" applyBorder="1" applyAlignment="1">
      <alignment horizontal="center" vertical="center"/>
    </xf>
    <xf numFmtId="9" fontId="44" fillId="2" borderId="1" xfId="2" applyFont="1" applyFill="1" applyBorder="1" applyAlignment="1">
      <alignment horizontal="center" vertical="center"/>
    </xf>
    <xf numFmtId="0" fontId="45" fillId="2" borderId="10" xfId="0" applyFont="1" applyFill="1" applyBorder="1" applyAlignment="1">
      <alignment horizontal="left" vertical="center" wrapText="1"/>
    </xf>
    <xf numFmtId="9" fontId="44" fillId="2" borderId="1" xfId="2" applyFont="1" applyFill="1" applyBorder="1" applyAlignment="1">
      <alignment horizontal="center"/>
    </xf>
    <xf numFmtId="0" fontId="45" fillId="12" borderId="10" xfId="0" applyFont="1" applyFill="1" applyBorder="1" applyAlignment="1">
      <alignment horizontal="left" vertical="center" wrapText="1"/>
    </xf>
    <xf numFmtId="0" fontId="1" fillId="2" borderId="78" xfId="0" applyFont="1" applyFill="1" applyBorder="1"/>
    <xf numFmtId="0" fontId="42" fillId="2" borderId="1" xfId="0" applyFont="1" applyFill="1" applyBorder="1" applyAlignment="1">
      <alignment horizontal="left" vertical="center"/>
    </xf>
    <xf numFmtId="9" fontId="41" fillId="2" borderId="1" xfId="2" applyFont="1" applyFill="1" applyBorder="1" applyAlignment="1">
      <alignment horizontal="center" vertical="center"/>
    </xf>
    <xf numFmtId="0" fontId="41" fillId="18" borderId="1" xfId="0" applyFont="1" applyFill="1" applyBorder="1" applyAlignment="1" applyProtection="1">
      <alignment horizontal="center"/>
      <protection locked="0"/>
    </xf>
    <xf numFmtId="0" fontId="41" fillId="2" borderId="23" xfId="0" applyFont="1" applyFill="1" applyBorder="1" applyAlignment="1">
      <alignment horizontal="left" vertical="top"/>
    </xf>
    <xf numFmtId="9" fontId="42" fillId="2" borderId="23" xfId="2" applyFont="1" applyFill="1" applyBorder="1" applyAlignment="1" applyProtection="1">
      <alignment horizontal="center" vertical="center"/>
    </xf>
    <xf numFmtId="0" fontId="42" fillId="2" borderId="1" xfId="0" applyFont="1" applyFill="1" applyBorder="1" applyAlignment="1">
      <alignment vertical="top"/>
    </xf>
    <xf numFmtId="1" fontId="41" fillId="2" borderId="1" xfId="2" applyNumberFormat="1" applyFont="1" applyFill="1" applyBorder="1" applyAlignment="1">
      <alignment horizontal="center" vertical="center"/>
    </xf>
    <xf numFmtId="0" fontId="41" fillId="2" borderId="1" xfId="0" applyFont="1" applyFill="1" applyBorder="1" applyAlignment="1">
      <alignment horizontal="center" vertical="center"/>
    </xf>
    <xf numFmtId="0" fontId="42" fillId="12" borderId="1" xfId="0" applyFont="1" applyFill="1" applyBorder="1" applyAlignment="1">
      <alignment vertical="top"/>
    </xf>
    <xf numFmtId="0" fontId="41" fillId="2" borderId="1" xfId="2" applyNumberFormat="1" applyFont="1" applyFill="1" applyBorder="1" applyAlignment="1">
      <alignment horizontal="center" vertical="center"/>
    </xf>
    <xf numFmtId="9" fontId="39" fillId="2" borderId="1" xfId="2" applyFont="1" applyFill="1" applyBorder="1" applyAlignment="1">
      <alignment horizontal="center" vertical="center"/>
    </xf>
    <xf numFmtId="0" fontId="40" fillId="2" borderId="1" xfId="0" applyFont="1" applyFill="1" applyBorder="1" applyAlignment="1">
      <alignment horizontal="left" vertical="center"/>
    </xf>
    <xf numFmtId="0" fontId="1" fillId="2" borderId="44" xfId="0" applyFont="1" applyFill="1" applyBorder="1"/>
    <xf numFmtId="0" fontId="44" fillId="2" borderId="17" xfId="0" applyFont="1" applyFill="1" applyBorder="1" applyAlignment="1">
      <alignment vertical="top"/>
    </xf>
    <xf numFmtId="0" fontId="39" fillId="13" borderId="10" xfId="0" applyFont="1" applyFill="1" applyBorder="1" applyAlignment="1" applyProtection="1">
      <alignment horizontal="center"/>
      <protection locked="0"/>
    </xf>
    <xf numFmtId="0" fontId="39" fillId="2" borderId="1" xfId="0" applyFont="1" applyFill="1" applyBorder="1" applyProtection="1">
      <protection locked="0"/>
    </xf>
    <xf numFmtId="0" fontId="39" fillId="2" borderId="10" xfId="0" applyFont="1" applyFill="1" applyBorder="1" applyProtection="1">
      <protection locked="0"/>
    </xf>
    <xf numFmtId="10" fontId="39" fillId="2" borderId="23" xfId="2" applyNumberFormat="1" applyFont="1" applyFill="1" applyBorder="1" applyAlignment="1" applyProtection="1">
      <alignment horizontal="center" vertical="center"/>
    </xf>
    <xf numFmtId="0" fontId="49" fillId="20" borderId="10" xfId="0" applyFont="1" applyFill="1" applyBorder="1" applyAlignment="1" applyProtection="1">
      <alignment vertical="top"/>
      <protection locked="0"/>
    </xf>
    <xf numFmtId="0" fontId="39" fillId="20" borderId="24" xfId="0" applyFont="1" applyFill="1" applyBorder="1" applyAlignment="1" applyProtection="1">
      <alignment vertical="top"/>
      <protection locked="0"/>
    </xf>
    <xf numFmtId="0" fontId="40" fillId="2" borderId="10" xfId="0" applyFont="1" applyFill="1" applyBorder="1" applyAlignment="1">
      <alignment horizontal="left" vertical="center"/>
    </xf>
    <xf numFmtId="0" fontId="39" fillId="2" borderId="10" xfId="0" applyFont="1" applyFill="1" applyBorder="1" applyAlignment="1">
      <alignment horizontal="left" vertical="top" wrapText="1"/>
    </xf>
    <xf numFmtId="0" fontId="39" fillId="2" borderId="11" xfId="0" applyFont="1" applyFill="1" applyBorder="1" applyAlignment="1">
      <alignment horizontal="left" vertical="top" wrapText="1"/>
    </xf>
    <xf numFmtId="9" fontId="40" fillId="2" borderId="0" xfId="2" applyFont="1" applyFill="1" applyAlignment="1">
      <alignment horizontal="center"/>
    </xf>
    <xf numFmtId="9" fontId="40" fillId="2" borderId="0" xfId="2" applyFont="1" applyFill="1" applyAlignment="1">
      <alignment horizontal="center" vertical="center"/>
    </xf>
    <xf numFmtId="0" fontId="45" fillId="13" borderId="1" xfId="0" applyFont="1" applyFill="1" applyBorder="1" applyAlignment="1">
      <alignment horizontal="left" vertical="center"/>
    </xf>
    <xf numFmtId="17" fontId="45" fillId="13" borderId="1" xfId="0" applyNumberFormat="1" applyFont="1" applyFill="1" applyBorder="1" applyAlignment="1">
      <alignment horizontal="center" vertical="center"/>
    </xf>
    <xf numFmtId="0" fontId="44" fillId="13" borderId="1" xfId="0" applyFont="1" applyFill="1" applyBorder="1" applyAlignment="1">
      <alignment horizontal="center" vertical="center"/>
    </xf>
    <xf numFmtId="1" fontId="44" fillId="2" borderId="1" xfId="2" applyNumberFormat="1" applyFont="1" applyFill="1" applyBorder="1" applyAlignment="1">
      <alignment horizontal="center" vertical="center"/>
    </xf>
    <xf numFmtId="9" fontId="44" fillId="5" borderId="1" xfId="2" applyFont="1" applyFill="1" applyBorder="1" applyAlignment="1">
      <alignment horizontal="center" vertical="center"/>
    </xf>
    <xf numFmtId="0" fontId="26" fillId="13" borderId="1" xfId="0" applyFont="1" applyFill="1" applyBorder="1" applyAlignment="1">
      <alignment horizontal="left" vertical="center"/>
    </xf>
    <xf numFmtId="17" fontId="33" fillId="13" borderId="1" xfId="0" applyNumberFormat="1" applyFont="1" applyFill="1" applyBorder="1" applyAlignment="1">
      <alignment horizontal="center"/>
    </xf>
    <xf numFmtId="0" fontId="35" fillId="18" borderId="1" xfId="0" applyFont="1" applyFill="1" applyBorder="1" applyAlignment="1">
      <alignment horizontal="center" vertical="center"/>
    </xf>
    <xf numFmtId="0" fontId="27" fillId="18" borderId="1" xfId="0" applyFont="1" applyFill="1" applyBorder="1" applyAlignment="1">
      <alignment horizontal="left" vertical="center" wrapText="1"/>
    </xf>
    <xf numFmtId="14" fontId="0" fillId="0" borderId="1" xfId="0" applyNumberFormat="1" applyBorder="1" applyAlignment="1">
      <alignment horizontal="right"/>
    </xf>
    <xf numFmtId="10" fontId="1" fillId="2" borderId="1" xfId="2" applyNumberFormat="1" applyFont="1" applyFill="1" applyBorder="1" applyAlignment="1">
      <alignment horizontal="center" vertical="center"/>
    </xf>
    <xf numFmtId="10" fontId="1" fillId="2" borderId="1" xfId="0" applyNumberFormat="1" applyFont="1" applyFill="1" applyBorder="1" applyAlignment="1">
      <alignment horizontal="center" vertical="center"/>
    </xf>
    <xf numFmtId="10" fontId="51" fillId="2" borderId="1" xfId="2" applyNumberFormat="1" applyFont="1" applyFill="1" applyBorder="1" applyAlignment="1">
      <alignment horizontal="center" vertical="center"/>
    </xf>
    <xf numFmtId="9" fontId="1" fillId="0" borderId="52" xfId="0" applyNumberFormat="1" applyFont="1" applyBorder="1" applyAlignment="1">
      <alignment horizontal="center" vertical="top"/>
    </xf>
    <xf numFmtId="9" fontId="1" fillId="0" borderId="0" xfId="0" applyNumberFormat="1" applyFont="1" applyAlignment="1">
      <alignment horizontal="center" vertical="top"/>
    </xf>
    <xf numFmtId="17" fontId="16" fillId="7" borderId="79" xfId="0" applyNumberFormat="1" applyFont="1" applyFill="1" applyBorder="1" applyAlignment="1">
      <alignment horizontal="center" vertical="top"/>
    </xf>
    <xf numFmtId="0" fontId="1" fillId="2" borderId="1" xfId="2" applyNumberFormat="1" applyFont="1" applyFill="1" applyBorder="1" applyAlignment="1" applyProtection="1">
      <alignment horizontal="center" vertical="center" wrapText="1"/>
      <protection locked="0"/>
    </xf>
    <xf numFmtId="0" fontId="1" fillId="12" borderId="0" xfId="0" applyFont="1" applyFill="1"/>
    <xf numFmtId="0" fontId="29" fillId="22" borderId="1" xfId="0" applyFont="1" applyFill="1" applyBorder="1" applyAlignment="1">
      <alignment horizontal="center" vertical="center"/>
    </xf>
    <xf numFmtId="1" fontId="29" fillId="22" borderId="1" xfId="0" applyNumberFormat="1" applyFont="1" applyFill="1" applyBorder="1" applyAlignment="1">
      <alignment horizontal="center" vertical="center"/>
    </xf>
    <xf numFmtId="173" fontId="45" fillId="18" borderId="1" xfId="4" applyNumberFormat="1" applyFont="1" applyFill="1" applyBorder="1" applyAlignment="1">
      <alignment vertical="center"/>
    </xf>
    <xf numFmtId="173" fontId="45" fillId="18" borderId="1" xfId="4" applyNumberFormat="1" applyFont="1" applyFill="1" applyBorder="1" applyAlignment="1">
      <alignment horizontal="center" vertical="center"/>
    </xf>
    <xf numFmtId="9" fontId="40" fillId="2" borderId="22" xfId="2" applyFont="1" applyFill="1" applyBorder="1" applyAlignment="1" applyProtection="1">
      <alignment horizontal="center" vertical="center"/>
    </xf>
    <xf numFmtId="9" fontId="45" fillId="2" borderId="0" xfId="2" applyFont="1" applyFill="1" applyAlignment="1">
      <alignment horizontal="center" vertical="center"/>
    </xf>
    <xf numFmtId="0" fontId="3" fillId="2" borderId="1" xfId="0" applyFont="1" applyFill="1" applyBorder="1" applyAlignment="1">
      <alignment horizontal="center" vertical="center" wrapText="1"/>
    </xf>
    <xf numFmtId="0" fontId="1" fillId="2" borderId="0" xfId="0" applyFont="1" applyFill="1" applyAlignment="1">
      <alignment horizontal="center" vertical="center"/>
    </xf>
    <xf numFmtId="0" fontId="1" fillId="2" borderId="0" xfId="0" applyFont="1" applyFill="1" applyAlignment="1">
      <alignment horizontal="left" vertical="top"/>
    </xf>
    <xf numFmtId="0" fontId="0" fillId="0" borderId="1" xfId="0" applyBorder="1" applyAlignment="1">
      <alignment vertical="top" wrapText="1"/>
    </xf>
    <xf numFmtId="0" fontId="0" fillId="0" borderId="1" xfId="0" applyBorder="1" applyAlignment="1">
      <alignment horizontal="center" vertical="center" wrapText="1"/>
    </xf>
    <xf numFmtId="0" fontId="6" fillId="0" borderId="1" xfId="0" applyFont="1" applyBorder="1" applyAlignment="1">
      <alignment horizontal="center" vertical="top" wrapText="1"/>
    </xf>
    <xf numFmtId="0" fontId="13" fillId="0" borderId="1" xfId="0" applyFont="1" applyBorder="1" applyAlignment="1">
      <alignment vertical="top" wrapText="1"/>
    </xf>
    <xf numFmtId="0" fontId="6" fillId="0" borderId="1" xfId="0" applyFont="1" applyBorder="1" applyAlignment="1">
      <alignment horizontal="center" vertical="center"/>
    </xf>
    <xf numFmtId="2" fontId="0" fillId="0" borderId="1" xfId="0" applyNumberFormat="1" applyBorder="1" applyAlignment="1">
      <alignment horizontal="center" vertical="center"/>
    </xf>
    <xf numFmtId="1" fontId="0" fillId="0" borderId="1" xfId="0" applyNumberFormat="1" applyBorder="1" applyAlignment="1">
      <alignment horizontal="center" vertical="center"/>
    </xf>
    <xf numFmtId="173" fontId="45" fillId="23" borderId="1" xfId="4" applyNumberFormat="1" applyFont="1" applyFill="1" applyBorder="1" applyAlignment="1">
      <alignment horizontal="center" vertical="center"/>
    </xf>
    <xf numFmtId="173" fontId="45" fillId="23" borderId="1" xfId="4" applyNumberFormat="1" applyFont="1" applyFill="1" applyBorder="1" applyAlignment="1">
      <alignment vertical="center"/>
    </xf>
    <xf numFmtId="9" fontId="0" fillId="0" borderId="10" xfId="2" applyFont="1" applyBorder="1" applyAlignment="1">
      <alignment horizontal="center" vertical="top"/>
    </xf>
    <xf numFmtId="0" fontId="52" fillId="0" borderId="0" xfId="0" applyFont="1" applyAlignment="1">
      <alignment horizontal="center" vertical="center" wrapText="1"/>
    </xf>
    <xf numFmtId="0" fontId="53" fillId="0" borderId="1" xfId="39" applyFont="1" applyBorder="1" applyAlignment="1">
      <alignment horizontal="center" vertical="center" wrapText="1"/>
    </xf>
    <xf numFmtId="0" fontId="53" fillId="24" borderId="1" xfId="39" applyFont="1" applyFill="1" applyBorder="1" applyAlignment="1">
      <alignment horizontal="center" vertical="center" wrapText="1"/>
    </xf>
    <xf numFmtId="0" fontId="29" fillId="0" borderId="1" xfId="39" applyFont="1" applyBorder="1" applyAlignment="1">
      <alignment horizontal="center" vertical="center" wrapText="1"/>
    </xf>
    <xf numFmtId="0" fontId="29" fillId="24" borderId="1" xfId="39" applyFont="1" applyFill="1" applyBorder="1" applyAlignment="1">
      <alignment horizontal="center" vertical="center" wrapText="1"/>
    </xf>
    <xf numFmtId="0" fontId="52" fillId="0" borderId="1" xfId="0" applyFont="1" applyBorder="1" applyAlignment="1">
      <alignment horizontal="center" vertical="center" wrapText="1"/>
    </xf>
    <xf numFmtId="0" fontId="54" fillId="25" borderId="1" xfId="0" applyFont="1" applyFill="1" applyBorder="1" applyAlignment="1">
      <alignment horizontal="center" vertical="center" wrapText="1"/>
    </xf>
    <xf numFmtId="0" fontId="55" fillId="0" borderId="1" xfId="0" applyFont="1" applyBorder="1" applyAlignment="1">
      <alignment horizontal="center" vertical="center" wrapText="1"/>
    </xf>
    <xf numFmtId="0" fontId="55" fillId="24" borderId="1" xfId="0" applyFont="1" applyFill="1" applyBorder="1" applyAlignment="1">
      <alignment horizontal="center" vertical="center" wrapText="1"/>
    </xf>
    <xf numFmtId="3" fontId="29" fillId="24" borderId="1" xfId="39" applyNumberFormat="1" applyFont="1" applyFill="1" applyBorder="1" applyAlignment="1">
      <alignment horizontal="center" vertical="center" wrapText="1"/>
    </xf>
    <xf numFmtId="3" fontId="55" fillId="0" borderId="1" xfId="0" applyNumberFormat="1" applyFont="1" applyBorder="1" applyAlignment="1">
      <alignment horizontal="center" vertical="center" wrapText="1"/>
    </xf>
    <xf numFmtId="0" fontId="55" fillId="0" borderId="0" xfId="0" applyFont="1" applyAlignment="1">
      <alignment horizontal="center" vertical="center" wrapText="1"/>
    </xf>
    <xf numFmtId="0" fontId="53" fillId="0" borderId="11" xfId="39" applyFont="1" applyBorder="1" applyAlignment="1">
      <alignment horizontal="center" vertical="center" wrapText="1"/>
    </xf>
    <xf numFmtId="0" fontId="53" fillId="12" borderId="11" xfId="39" applyFont="1" applyFill="1" applyBorder="1" applyAlignment="1">
      <alignment horizontal="center" vertical="center" wrapText="1"/>
    </xf>
    <xf numFmtId="0" fontId="29" fillId="12" borderId="1" xfId="39" applyFont="1" applyFill="1" applyBorder="1" applyAlignment="1">
      <alignment horizontal="center" vertical="center" wrapText="1"/>
    </xf>
    <xf numFmtId="0" fontId="52" fillId="12" borderId="0" xfId="0" applyFont="1" applyFill="1" applyAlignment="1">
      <alignment horizontal="center" vertical="center" wrapText="1"/>
    </xf>
    <xf numFmtId="2" fontId="1" fillId="2" borderId="1" xfId="0" applyNumberFormat="1" applyFont="1" applyFill="1" applyBorder="1" applyAlignment="1">
      <alignment horizontal="center" vertical="center"/>
    </xf>
    <xf numFmtId="0" fontId="16" fillId="2" borderId="1" xfId="0" applyFont="1" applyFill="1" applyBorder="1" applyAlignment="1">
      <alignment horizontal="center"/>
    </xf>
    <xf numFmtId="2" fontId="1" fillId="2" borderId="36" xfId="0" applyNumberFormat="1" applyFont="1" applyFill="1" applyBorder="1" applyAlignment="1">
      <alignment horizontal="center" vertical="center"/>
    </xf>
    <xf numFmtId="2" fontId="1" fillId="2" borderId="6" xfId="0" applyNumberFormat="1" applyFont="1" applyFill="1" applyBorder="1" applyAlignment="1">
      <alignment horizontal="center" vertical="center"/>
    </xf>
    <xf numFmtId="9" fontId="1" fillId="2" borderId="0" xfId="2" applyFont="1" applyFill="1" applyBorder="1" applyAlignment="1">
      <alignment horizontal="center" vertical="center"/>
    </xf>
    <xf numFmtId="0" fontId="52" fillId="0" borderId="0" xfId="0" applyFont="1" applyAlignment="1">
      <alignment horizontal="center" wrapText="1"/>
    </xf>
    <xf numFmtId="0" fontId="53" fillId="0" borderId="0" xfId="39" applyFont="1" applyAlignment="1">
      <alignment horizontal="center" wrapText="1"/>
    </xf>
    <xf numFmtId="0" fontId="29" fillId="0" borderId="0" xfId="39" applyFont="1" applyAlignment="1">
      <alignment horizontal="center" wrapText="1"/>
    </xf>
    <xf numFmtId="0" fontId="1" fillId="2" borderId="1" xfId="0" applyFont="1" applyFill="1" applyBorder="1" applyAlignment="1">
      <alignment horizontal="center" vertical="center" wrapText="1"/>
    </xf>
    <xf numFmtId="0" fontId="39" fillId="16" borderId="1" xfId="0" applyFont="1" applyFill="1" applyBorder="1" applyAlignment="1">
      <alignment horizontal="center" vertical="center"/>
    </xf>
    <xf numFmtId="10" fontId="39" fillId="2" borderId="1" xfId="0" applyNumberFormat="1" applyFont="1" applyFill="1" applyBorder="1" applyAlignment="1">
      <alignment horizontal="center" vertical="center"/>
    </xf>
    <xf numFmtId="0" fontId="39" fillId="16" borderId="10" xfId="0" applyFont="1" applyFill="1" applyBorder="1" applyAlignment="1">
      <alignment horizontal="center" vertical="center"/>
    </xf>
    <xf numFmtId="0" fontId="1" fillId="2" borderId="0" xfId="0" applyFont="1" applyFill="1" applyAlignment="1">
      <alignment horizontal="center" wrapText="1"/>
    </xf>
    <xf numFmtId="176" fontId="1" fillId="2" borderId="0" xfId="0" applyNumberFormat="1" applyFont="1" applyFill="1"/>
    <xf numFmtId="0" fontId="1" fillId="0" borderId="1" xfId="0" applyFont="1" applyBorder="1" applyAlignment="1">
      <alignment horizontal="center" vertical="center"/>
    </xf>
    <xf numFmtId="1" fontId="1" fillId="2" borderId="1" xfId="2" applyNumberFormat="1" applyFont="1" applyFill="1" applyBorder="1" applyAlignment="1">
      <alignment horizontal="center" vertical="center"/>
    </xf>
    <xf numFmtId="0" fontId="1" fillId="2" borderId="83" xfId="0" applyFont="1" applyFill="1" applyBorder="1" applyAlignment="1">
      <alignment vertical="top"/>
    </xf>
    <xf numFmtId="9" fontId="1" fillId="2" borderId="83" xfId="2" applyFont="1" applyFill="1" applyBorder="1" applyAlignment="1" applyProtection="1">
      <alignment horizontal="center" vertical="center"/>
      <protection locked="0"/>
    </xf>
    <xf numFmtId="0" fontId="1" fillId="2" borderId="12" xfId="0" applyFont="1" applyFill="1" applyBorder="1" applyAlignment="1">
      <alignment vertical="top"/>
    </xf>
    <xf numFmtId="0" fontId="1" fillId="2" borderId="51" xfId="0" applyFont="1" applyFill="1" applyBorder="1" applyAlignment="1" applyProtection="1">
      <alignment vertical="top"/>
      <protection locked="0"/>
    </xf>
    <xf numFmtId="0" fontId="1" fillId="2" borderId="52" xfId="0" applyFont="1" applyFill="1" applyBorder="1" applyAlignment="1" applyProtection="1">
      <alignment vertical="top"/>
      <protection locked="0"/>
    </xf>
    <xf numFmtId="0" fontId="1" fillId="2" borderId="52" xfId="0" applyFont="1" applyFill="1" applyBorder="1" applyProtection="1">
      <protection locked="0"/>
    </xf>
    <xf numFmtId="0" fontId="1" fillId="2" borderId="53" xfId="0" applyFont="1" applyFill="1" applyBorder="1" applyProtection="1">
      <protection locked="0"/>
    </xf>
    <xf numFmtId="0" fontId="1" fillId="2" borderId="56" xfId="0" applyFont="1" applyFill="1" applyBorder="1" applyAlignment="1">
      <alignment vertical="top"/>
    </xf>
    <xf numFmtId="0" fontId="1" fillId="2" borderId="57" xfId="0" applyFont="1" applyFill="1" applyBorder="1" applyAlignment="1">
      <alignment vertical="top"/>
    </xf>
    <xf numFmtId="0" fontId="1" fillId="2" borderId="57" xfId="0" applyFont="1" applyFill="1" applyBorder="1"/>
    <xf numFmtId="0" fontId="1" fillId="2" borderId="58" xfId="0" applyFont="1" applyFill="1" applyBorder="1"/>
    <xf numFmtId="9" fontId="1" fillId="0" borderId="52" xfId="2" applyFont="1" applyBorder="1" applyAlignment="1">
      <alignment horizontal="center" vertical="top"/>
    </xf>
    <xf numFmtId="9" fontId="1" fillId="0" borderId="0" xfId="2" applyFont="1" applyBorder="1" applyAlignment="1">
      <alignment horizontal="center" vertical="top"/>
    </xf>
    <xf numFmtId="9" fontId="1" fillId="0" borderId="57" xfId="2" applyFont="1" applyBorder="1" applyAlignment="1">
      <alignment horizontal="center" vertical="top"/>
    </xf>
    <xf numFmtId="9" fontId="1" fillId="0" borderId="55" xfId="2" applyFont="1" applyBorder="1" applyAlignment="1">
      <alignment horizontal="center" vertical="top"/>
    </xf>
    <xf numFmtId="9" fontId="1" fillId="0" borderId="58" xfId="2" applyFont="1" applyBorder="1" applyAlignment="1">
      <alignment horizontal="center" vertical="top"/>
    </xf>
    <xf numFmtId="9" fontId="1" fillId="0" borderId="57" xfId="0" applyNumberFormat="1" applyFont="1" applyBorder="1" applyAlignment="1">
      <alignment horizontal="center" vertical="top"/>
    </xf>
    <xf numFmtId="9" fontId="1" fillId="0" borderId="56" xfId="0" applyNumberFormat="1" applyFont="1" applyBorder="1" applyAlignment="1">
      <alignment horizontal="center" vertical="center"/>
    </xf>
    <xf numFmtId="9" fontId="1" fillId="0" borderId="57" xfId="0" applyNumberFormat="1" applyFont="1" applyBorder="1" applyAlignment="1">
      <alignment horizontal="center" vertical="center"/>
    </xf>
    <xf numFmtId="9" fontId="1" fillId="0" borderId="49" xfId="0" applyNumberFormat="1" applyFont="1" applyBorder="1" applyAlignment="1">
      <alignment vertical="top"/>
    </xf>
    <xf numFmtId="9" fontId="1" fillId="12" borderId="84" xfId="0" applyNumberFormat="1" applyFont="1" applyFill="1" applyBorder="1" applyAlignment="1">
      <alignment horizontal="center" vertical="center"/>
    </xf>
    <xf numFmtId="0" fontId="1" fillId="0" borderId="84" xfId="0" applyFont="1" applyBorder="1" applyAlignment="1">
      <alignment horizontal="center" vertical="center" wrapText="1"/>
    </xf>
    <xf numFmtId="0" fontId="1" fillId="0" borderId="1" xfId="0" applyFont="1" applyBorder="1" applyAlignment="1">
      <alignment horizontal="center" vertical="center" wrapText="1"/>
    </xf>
    <xf numFmtId="0" fontId="3" fillId="12" borderId="1" xfId="0" applyFont="1" applyFill="1" applyBorder="1" applyAlignment="1">
      <alignment horizontal="center" vertical="center" wrapText="1"/>
    </xf>
    <xf numFmtId="9" fontId="1" fillId="0" borderId="0" xfId="0" applyNumberFormat="1" applyFont="1" applyAlignment="1">
      <alignment vertical="top" wrapText="1"/>
    </xf>
    <xf numFmtId="9" fontId="1" fillId="0" borderId="1" xfId="0" applyNumberFormat="1" applyFont="1" applyBorder="1" applyAlignment="1">
      <alignment horizontal="center" vertical="center" wrapText="1"/>
    </xf>
    <xf numFmtId="9" fontId="1" fillId="12" borderId="50" xfId="0" applyNumberFormat="1" applyFont="1" applyFill="1" applyBorder="1" applyAlignment="1">
      <alignment horizontal="center" vertical="center"/>
    </xf>
    <xf numFmtId="9" fontId="1" fillId="0" borderId="51" xfId="2" applyFont="1" applyBorder="1" applyAlignment="1">
      <alignment horizontal="center" vertical="top"/>
    </xf>
    <xf numFmtId="9" fontId="1" fillId="0" borderId="54" xfId="2" applyFont="1" applyBorder="1" applyAlignment="1">
      <alignment horizontal="center" vertical="top"/>
    </xf>
    <xf numFmtId="9" fontId="1" fillId="0" borderId="56" xfId="2" applyFont="1" applyBorder="1" applyAlignment="1">
      <alignment horizontal="center" vertical="top"/>
    </xf>
    <xf numFmtId="0" fontId="26" fillId="14" borderId="1" xfId="0" applyFont="1" applyFill="1" applyBorder="1" applyAlignment="1">
      <alignment horizontal="center"/>
    </xf>
    <xf numFmtId="0" fontId="0" fillId="0" borderId="0" xfId="0" applyAlignment="1">
      <alignment horizontal="center" vertical="center"/>
    </xf>
    <xf numFmtId="0" fontId="1" fillId="2" borderId="44" xfId="0" applyFont="1" applyFill="1" applyBorder="1" applyAlignment="1">
      <alignment horizontal="center" vertical="top" wrapText="1"/>
    </xf>
    <xf numFmtId="0" fontId="1" fillId="2" borderId="85" xfId="0" applyFont="1" applyFill="1" applyBorder="1" applyAlignment="1">
      <alignment horizontal="center" vertical="top" wrapText="1"/>
    </xf>
    <xf numFmtId="0" fontId="0" fillId="0" borderId="1" xfId="0" applyBorder="1" applyAlignment="1">
      <alignment horizontal="center" vertical="center" textRotation="255" wrapText="1"/>
    </xf>
    <xf numFmtId="0" fontId="35" fillId="0" borderId="1" xfId="0" applyFont="1" applyBorder="1"/>
    <xf numFmtId="9" fontId="35" fillId="0" borderId="1" xfId="2" applyFont="1" applyBorder="1"/>
    <xf numFmtId="9" fontId="56" fillId="12" borderId="1" xfId="2" applyFont="1" applyFill="1" applyBorder="1" applyAlignment="1">
      <alignment horizontal="center" vertical="center"/>
    </xf>
    <xf numFmtId="9" fontId="1" fillId="0" borderId="53" xfId="0" applyNumberFormat="1" applyFont="1" applyBorder="1" applyAlignment="1">
      <alignment horizontal="center" vertical="top"/>
    </xf>
    <xf numFmtId="9" fontId="1" fillId="0" borderId="58" xfId="0" applyNumberFormat="1" applyFont="1" applyBorder="1" applyAlignment="1">
      <alignment horizontal="center" vertical="top"/>
    </xf>
    <xf numFmtId="9" fontId="1" fillId="0" borderId="55" xfId="0" applyNumberFormat="1" applyFont="1" applyBorder="1" applyAlignment="1">
      <alignment horizontal="center" vertical="top"/>
    </xf>
    <xf numFmtId="0" fontId="57" fillId="2" borderId="1" xfId="0" applyFont="1" applyFill="1" applyBorder="1" applyAlignment="1">
      <alignment horizontal="center"/>
    </xf>
    <xf numFmtId="0" fontId="3" fillId="26" borderId="1" xfId="0" applyFont="1" applyFill="1" applyBorder="1" applyAlignment="1">
      <alignment horizontal="center" vertical="center"/>
    </xf>
    <xf numFmtId="0" fontId="40" fillId="12" borderId="1" xfId="0" applyFont="1" applyFill="1" applyBorder="1" applyAlignment="1">
      <alignment horizontal="center" vertical="center" wrapText="1"/>
    </xf>
    <xf numFmtId="2" fontId="1" fillId="2" borderId="0" xfId="0" applyNumberFormat="1" applyFont="1" applyFill="1"/>
    <xf numFmtId="2" fontId="1" fillId="12" borderId="0" xfId="0" applyNumberFormat="1" applyFont="1" applyFill="1"/>
    <xf numFmtId="166" fontId="1" fillId="2" borderId="1" xfId="0" applyNumberFormat="1" applyFont="1" applyFill="1" applyBorder="1" applyAlignment="1">
      <alignment horizontal="center"/>
    </xf>
    <xf numFmtId="0" fontId="29" fillId="2" borderId="1" xfId="0" applyFont="1" applyFill="1" applyBorder="1" applyAlignment="1">
      <alignment horizontal="center" vertical="center"/>
    </xf>
    <xf numFmtId="0" fontId="40" fillId="18" borderId="1" xfId="0" applyFont="1" applyFill="1" applyBorder="1" applyAlignment="1">
      <alignment horizontal="center" vertical="center"/>
    </xf>
    <xf numFmtId="9" fontId="1" fillId="2" borderId="1" xfId="2" applyFont="1" applyFill="1" applyBorder="1" applyAlignment="1">
      <alignment horizontal="right"/>
    </xf>
    <xf numFmtId="0" fontId="1" fillId="6" borderId="0" xfId="0" applyFont="1" applyFill="1"/>
    <xf numFmtId="0" fontId="3" fillId="18" borderId="1" xfId="0" applyFont="1" applyFill="1" applyBorder="1" applyAlignment="1">
      <alignment horizontal="center" vertical="center"/>
    </xf>
    <xf numFmtId="0" fontId="40" fillId="2" borderId="26" xfId="0" applyFont="1" applyFill="1" applyBorder="1" applyAlignment="1" applyProtection="1">
      <alignment horizontal="left" vertical="top"/>
      <protection locked="0"/>
    </xf>
    <xf numFmtId="0" fontId="40" fillId="2" borderId="29" xfId="0" applyFont="1" applyFill="1" applyBorder="1" applyAlignment="1" applyProtection="1">
      <alignment horizontal="left" vertical="top"/>
      <protection locked="0"/>
    </xf>
    <xf numFmtId="0" fontId="40" fillId="2" borderId="33" xfId="0" applyFont="1" applyFill="1" applyBorder="1" applyAlignment="1" applyProtection="1">
      <alignment horizontal="left" vertical="top"/>
      <protection locked="0"/>
    </xf>
    <xf numFmtId="0" fontId="3" fillId="2" borderId="0" xfId="0" applyFont="1" applyFill="1" applyAlignment="1" applyProtection="1">
      <alignment horizontal="left"/>
      <protection locked="0"/>
    </xf>
    <xf numFmtId="0" fontId="45" fillId="28" borderId="1" xfId="0" applyFont="1" applyFill="1" applyBorder="1" applyAlignment="1">
      <alignment horizontal="left" vertical="center"/>
    </xf>
    <xf numFmtId="17" fontId="45" fillId="29" borderId="1" xfId="0" applyNumberFormat="1" applyFont="1" applyFill="1" applyBorder="1" applyAlignment="1">
      <alignment horizontal="center" vertical="center"/>
    </xf>
    <xf numFmtId="0" fontId="40" fillId="24" borderId="1" xfId="0" applyFont="1" applyFill="1" applyBorder="1" applyAlignment="1" applyProtection="1">
      <alignment horizontal="center"/>
      <protection locked="0"/>
    </xf>
    <xf numFmtId="9" fontId="39" fillId="6" borderId="1" xfId="0" applyNumberFormat="1" applyFont="1" applyFill="1" applyBorder="1" applyAlignment="1" applyProtection="1">
      <alignment horizontal="center"/>
      <protection locked="0"/>
    </xf>
    <xf numFmtId="9" fontId="39" fillId="2" borderId="1" xfId="2" applyFont="1" applyFill="1" applyBorder="1" applyAlignment="1" applyProtection="1">
      <alignment horizontal="center"/>
      <protection locked="0"/>
    </xf>
    <xf numFmtId="0" fontId="1" fillId="29" borderId="1" xfId="0" applyFont="1" applyFill="1" applyBorder="1" applyAlignment="1" applyProtection="1">
      <alignment horizontal="center" vertical="center"/>
      <protection locked="0"/>
    </xf>
    <xf numFmtId="0" fontId="1" fillId="31" borderId="1" xfId="0" applyFont="1" applyFill="1" applyBorder="1" applyAlignment="1" applyProtection="1">
      <alignment horizontal="center" vertical="center"/>
      <protection locked="0"/>
    </xf>
    <xf numFmtId="0" fontId="3" fillId="2" borderId="86" xfId="0" applyFont="1" applyFill="1" applyBorder="1" applyAlignment="1">
      <alignment vertical="center"/>
    </xf>
    <xf numFmtId="0" fontId="3" fillId="2" borderId="52" xfId="0" applyFont="1" applyFill="1" applyBorder="1" applyAlignment="1">
      <alignment vertical="center"/>
    </xf>
    <xf numFmtId="0" fontId="3" fillId="2" borderId="87" xfId="0" applyFont="1" applyFill="1" applyBorder="1" applyAlignment="1">
      <alignment vertical="center"/>
    </xf>
    <xf numFmtId="0" fontId="3" fillId="2" borderId="1" xfId="0" applyFont="1" applyFill="1" applyBorder="1" applyAlignment="1">
      <alignment horizontal="center" vertical="top"/>
    </xf>
    <xf numFmtId="0" fontId="1" fillId="2" borderId="12" xfId="0" applyFont="1" applyFill="1" applyBorder="1" applyProtection="1">
      <protection locked="0"/>
    </xf>
    <xf numFmtId="0" fontId="1" fillId="2" borderId="15" xfId="0" applyFont="1" applyFill="1" applyBorder="1"/>
    <xf numFmtId="9" fontId="35" fillId="10" borderId="1" xfId="2" applyFont="1" applyFill="1" applyBorder="1" applyAlignment="1">
      <alignment horizontal="center" vertical="center"/>
    </xf>
    <xf numFmtId="3" fontId="39" fillId="2" borderId="1" xfId="0" applyNumberFormat="1" applyFont="1" applyFill="1" applyBorder="1" applyAlignment="1">
      <alignment horizontal="center" vertical="center"/>
    </xf>
    <xf numFmtId="10" fontId="39" fillId="10" borderId="1" xfId="0" applyNumberFormat="1" applyFont="1" applyFill="1" applyBorder="1" applyAlignment="1">
      <alignment horizontal="center" vertical="center"/>
    </xf>
    <xf numFmtId="0" fontId="1" fillId="0" borderId="1" xfId="0" applyFont="1" applyBorder="1" applyAlignment="1">
      <alignment horizontal="left" vertical="center" wrapText="1"/>
    </xf>
    <xf numFmtId="0" fontId="3" fillId="4" borderId="4" xfId="0" applyFont="1" applyFill="1" applyBorder="1" applyAlignment="1">
      <alignment horizontal="center" vertical="top" wrapText="1"/>
    </xf>
    <xf numFmtId="0" fontId="17" fillId="4" borderId="4" xfId="5" applyFont="1" applyFill="1" applyBorder="1" applyAlignment="1">
      <alignment vertical="top" wrapText="1"/>
    </xf>
    <xf numFmtId="0" fontId="3" fillId="4" borderId="2" xfId="0" applyFont="1" applyFill="1" applyBorder="1" applyAlignment="1">
      <alignment horizontal="center" vertical="top" wrapText="1"/>
    </xf>
    <xf numFmtId="0" fontId="17" fillId="4" borderId="2" xfId="5" applyFont="1" applyFill="1" applyBorder="1" applyAlignment="1">
      <alignment vertical="top" wrapText="1"/>
    </xf>
    <xf numFmtId="0" fontId="3" fillId="12" borderId="2" xfId="0" applyFont="1" applyFill="1" applyBorder="1" applyAlignment="1">
      <alignment horizontal="center" vertical="top" wrapText="1"/>
    </xf>
    <xf numFmtId="0" fontId="17" fillId="12" borderId="2" xfId="5" applyFont="1" applyFill="1" applyBorder="1" applyAlignment="1">
      <alignment vertical="top" wrapText="1"/>
    </xf>
    <xf numFmtId="0" fontId="3" fillId="24" borderId="2" xfId="0" applyFont="1" applyFill="1" applyBorder="1" applyAlignment="1">
      <alignment horizontal="center" vertical="top" wrapText="1"/>
    </xf>
    <xf numFmtId="0" fontId="18" fillId="24" borderId="2" xfId="5" applyFont="1" applyFill="1" applyBorder="1" applyAlignment="1">
      <alignment vertical="top" wrapText="1"/>
    </xf>
    <xf numFmtId="0" fontId="14" fillId="24" borderId="2" xfId="5" applyFill="1" applyBorder="1" applyAlignment="1">
      <alignment vertical="top" wrapText="1"/>
    </xf>
    <xf numFmtId="0" fontId="2" fillId="32" borderId="2" xfId="0" applyFont="1" applyFill="1" applyBorder="1" applyAlignment="1">
      <alignment horizontal="center" vertical="center" wrapText="1"/>
    </xf>
    <xf numFmtId="0" fontId="3" fillId="32" borderId="2" xfId="0" applyFont="1" applyFill="1" applyBorder="1" applyAlignment="1">
      <alignment horizontal="center" vertical="top" wrapText="1"/>
    </xf>
    <xf numFmtId="0" fontId="14" fillId="32" borderId="2" xfId="5" applyFill="1" applyBorder="1" applyAlignment="1">
      <alignment vertical="top" wrapText="1"/>
    </xf>
    <xf numFmtId="0" fontId="1" fillId="33" borderId="2" xfId="0" applyFont="1" applyFill="1" applyBorder="1" applyAlignment="1">
      <alignment vertical="center" wrapText="1"/>
    </xf>
    <xf numFmtId="0" fontId="3" fillId="33" borderId="2" xfId="0" applyFont="1" applyFill="1" applyBorder="1" applyAlignment="1">
      <alignment horizontal="center" vertical="top" wrapText="1"/>
    </xf>
    <xf numFmtId="0" fontId="18" fillId="33" borderId="2" xfId="5" applyFont="1" applyFill="1" applyBorder="1" applyAlignment="1">
      <alignment vertical="top" wrapText="1"/>
    </xf>
    <xf numFmtId="0" fontId="3" fillId="34" borderId="2" xfId="0" applyFont="1" applyFill="1" applyBorder="1" applyAlignment="1">
      <alignment horizontal="center" vertical="top" wrapText="1"/>
    </xf>
    <xf numFmtId="0" fontId="14" fillId="34" borderId="2" xfId="5" applyFill="1" applyBorder="1" applyAlignment="1">
      <alignment vertical="top" wrapText="1"/>
    </xf>
    <xf numFmtId="0" fontId="3" fillId="8" borderId="2" xfId="0" applyFont="1" applyFill="1" applyBorder="1" applyAlignment="1">
      <alignment horizontal="center" vertical="center" wrapText="1"/>
    </xf>
    <xf numFmtId="0" fontId="14" fillId="8" borderId="2" xfId="5" applyFill="1" applyBorder="1" applyAlignment="1">
      <alignment vertical="center" wrapText="1"/>
    </xf>
    <xf numFmtId="0" fontId="17" fillId="8" borderId="2" xfId="5" applyFont="1" applyFill="1" applyBorder="1" applyAlignment="1">
      <alignment vertical="center" wrapText="1"/>
    </xf>
    <xf numFmtId="0" fontId="18" fillId="8" borderId="2" xfId="5" applyFont="1" applyFill="1" applyBorder="1" applyAlignment="1">
      <alignment vertical="center" wrapText="1"/>
    </xf>
    <xf numFmtId="0" fontId="3" fillId="35" borderId="2" xfId="0" applyFont="1" applyFill="1" applyBorder="1" applyAlignment="1">
      <alignment horizontal="center" vertical="top" wrapText="1"/>
    </xf>
    <xf numFmtId="0" fontId="17" fillId="35" borderId="2" xfId="5" applyFont="1" applyFill="1" applyBorder="1" applyAlignment="1">
      <alignment vertical="top" wrapText="1"/>
    </xf>
    <xf numFmtId="0" fontId="3" fillId="35" borderId="42" xfId="0" applyFont="1" applyFill="1" applyBorder="1" applyAlignment="1">
      <alignment horizontal="center" vertical="top" wrapText="1"/>
    </xf>
    <xf numFmtId="0" fontId="17" fillId="35" borderId="42" xfId="5" applyFont="1" applyFill="1" applyBorder="1" applyAlignment="1">
      <alignment vertical="top" wrapText="1"/>
    </xf>
    <xf numFmtId="0" fontId="17" fillId="35" borderId="3" xfId="5" applyFont="1" applyFill="1" applyBorder="1" applyAlignment="1">
      <alignment vertical="top" wrapText="1"/>
    </xf>
    <xf numFmtId="9" fontId="1" fillId="0" borderId="48" xfId="0" applyNumberFormat="1" applyFont="1" applyBorder="1" applyAlignment="1">
      <alignment horizontal="center" vertical="top"/>
    </xf>
    <xf numFmtId="9" fontId="1" fillId="0" borderId="49" xfId="0" applyNumberFormat="1" applyFont="1" applyBorder="1" applyAlignment="1">
      <alignment horizontal="center" vertical="top"/>
    </xf>
    <xf numFmtId="9" fontId="1" fillId="0" borderId="49" xfId="2" applyFont="1" applyBorder="1" applyAlignment="1">
      <alignment horizontal="center" vertical="center"/>
    </xf>
    <xf numFmtId="9" fontId="36" fillId="0" borderId="49" xfId="0" applyNumberFormat="1" applyFont="1" applyBorder="1" applyAlignment="1">
      <alignment horizontal="center" vertical="center"/>
    </xf>
    <xf numFmtId="9" fontId="1" fillId="0" borderId="50" xfId="0" applyNumberFormat="1" applyFont="1" applyBorder="1" applyAlignment="1">
      <alignment horizontal="center" vertical="center"/>
    </xf>
    <xf numFmtId="9" fontId="1" fillId="0" borderId="57" xfId="2" applyFont="1" applyBorder="1" applyAlignment="1">
      <alignment vertical="top"/>
    </xf>
    <xf numFmtId="9" fontId="1" fillId="0" borderId="53" xfId="0" applyNumberFormat="1" applyFont="1" applyBorder="1" applyAlignment="1">
      <alignment horizontal="center" vertical="center"/>
    </xf>
    <xf numFmtId="0" fontId="0" fillId="0" borderId="1" xfId="0" applyBorder="1" applyAlignment="1">
      <alignment horizontal="center" vertical="top" wrapText="1"/>
    </xf>
    <xf numFmtId="173" fontId="29" fillId="12" borderId="1" xfId="4" applyNumberFormat="1" applyFont="1" applyFill="1" applyBorder="1" applyAlignment="1">
      <alignment horizontal="center" vertical="center" wrapText="1"/>
    </xf>
    <xf numFmtId="0" fontId="3" fillId="2" borderId="75" xfId="2" applyNumberFormat="1" applyFont="1" applyFill="1" applyBorder="1" applyAlignment="1" applyProtection="1">
      <alignment horizontal="center" vertical="center"/>
    </xf>
    <xf numFmtId="0" fontId="21" fillId="2" borderId="1" xfId="2" applyNumberFormat="1" applyFont="1" applyFill="1" applyBorder="1" applyAlignment="1">
      <alignment horizontal="center" vertical="center"/>
    </xf>
    <xf numFmtId="177" fontId="40" fillId="2" borderId="22" xfId="2" applyNumberFormat="1" applyFont="1" applyFill="1" applyBorder="1" applyAlignment="1" applyProtection="1">
      <alignment horizontal="center" vertical="center"/>
    </xf>
    <xf numFmtId="9" fontId="1" fillId="0" borderId="1" xfId="2" applyFont="1" applyFill="1" applyBorder="1" applyAlignment="1">
      <alignment horizontal="right"/>
    </xf>
    <xf numFmtId="9" fontId="1" fillId="0" borderId="1" xfId="2" applyFont="1" applyFill="1" applyBorder="1"/>
    <xf numFmtId="169" fontId="0" fillId="36" borderId="38" xfId="0" applyNumberFormat="1" applyFill="1" applyBorder="1" applyAlignment="1">
      <alignment horizontal="center" vertical="top"/>
    </xf>
    <xf numFmtId="0" fontId="0" fillId="36" borderId="38" xfId="0" applyFill="1" applyBorder="1" applyAlignment="1">
      <alignment horizontal="center" vertical="top"/>
    </xf>
    <xf numFmtId="2" fontId="0" fillId="36" borderId="38" xfId="0" applyNumberFormat="1" applyFill="1" applyBorder="1" applyAlignment="1">
      <alignment horizontal="center" vertical="top"/>
    </xf>
    <xf numFmtId="0" fontId="0" fillId="36" borderId="59" xfId="0" applyFill="1" applyBorder="1" applyAlignment="1">
      <alignment horizontal="center" vertical="top"/>
    </xf>
    <xf numFmtId="1" fontId="0" fillId="36" borderId="38" xfId="0" applyNumberFormat="1" applyFill="1" applyBorder="1" applyAlignment="1">
      <alignment horizontal="center" vertical="top"/>
    </xf>
    <xf numFmtId="9" fontId="0" fillId="0" borderId="0" xfId="2" applyFont="1" applyFill="1" applyAlignment="1">
      <alignment vertical="top" wrapText="1"/>
    </xf>
    <xf numFmtId="10" fontId="1" fillId="2" borderId="22" xfId="2" applyNumberFormat="1" applyFont="1" applyFill="1" applyBorder="1" applyProtection="1">
      <protection locked="0"/>
    </xf>
    <xf numFmtId="10" fontId="1" fillId="2" borderId="23" xfId="2" applyNumberFormat="1" applyFont="1" applyFill="1" applyBorder="1" applyProtection="1">
      <protection locked="0"/>
    </xf>
    <xf numFmtId="14" fontId="32" fillId="0" borderId="1" xfId="0" applyNumberFormat="1" applyFont="1" applyBorder="1" applyAlignment="1">
      <alignment horizontal="center" vertical="center"/>
    </xf>
    <xf numFmtId="0" fontId="39" fillId="10" borderId="0" xfId="0" applyFont="1" applyFill="1" applyAlignment="1">
      <alignment vertical="top"/>
    </xf>
    <xf numFmtId="0" fontId="45" fillId="10" borderId="10" xfId="0" applyFont="1" applyFill="1" applyBorder="1" applyAlignment="1">
      <alignment horizontal="left" vertical="center" wrapText="1"/>
    </xf>
    <xf numFmtId="9" fontId="44" fillId="10" borderId="1" xfId="2" applyFont="1" applyFill="1" applyBorder="1" applyAlignment="1">
      <alignment horizontal="center"/>
    </xf>
    <xf numFmtId="0" fontId="1" fillId="10" borderId="1" xfId="0" applyFont="1" applyFill="1" applyBorder="1" applyAlignment="1">
      <alignment horizontal="center"/>
    </xf>
    <xf numFmtId="10" fontId="44" fillId="10" borderId="1" xfId="2" applyNumberFormat="1" applyFont="1" applyFill="1" applyBorder="1" applyAlignment="1">
      <alignment horizontal="center"/>
    </xf>
    <xf numFmtId="10" fontId="1" fillId="10" borderId="1" xfId="0" applyNumberFormat="1" applyFont="1" applyFill="1" applyBorder="1" applyAlignment="1">
      <alignment horizontal="center"/>
    </xf>
    <xf numFmtId="0" fontId="39" fillId="10" borderId="0" xfId="0" applyFont="1" applyFill="1"/>
    <xf numFmtId="9" fontId="40" fillId="10" borderId="0" xfId="2" applyFont="1" applyFill="1" applyAlignment="1">
      <alignment horizontal="center"/>
    </xf>
    <xf numFmtId="10" fontId="40" fillId="10" borderId="0" xfId="2" applyNumberFormat="1" applyFont="1" applyFill="1" applyAlignment="1">
      <alignment horizontal="center" vertical="center"/>
    </xf>
    <xf numFmtId="0" fontId="1" fillId="10" borderId="0" xfId="0" applyFont="1" applyFill="1" applyAlignment="1">
      <alignment vertical="top"/>
    </xf>
    <xf numFmtId="0" fontId="27" fillId="10" borderId="0" xfId="0" applyFont="1" applyFill="1" applyAlignment="1">
      <alignment horizontal="left" vertical="center" wrapText="1"/>
    </xf>
    <xf numFmtId="10" fontId="29" fillId="10" borderId="1" xfId="2" applyNumberFormat="1" applyFont="1" applyFill="1" applyBorder="1" applyAlignment="1">
      <alignment horizontal="center"/>
    </xf>
    <xf numFmtId="0" fontId="21" fillId="10" borderId="0" xfId="0" applyFont="1" applyFill="1" applyAlignment="1">
      <alignment vertical="top"/>
    </xf>
    <xf numFmtId="10" fontId="1" fillId="10" borderId="1" xfId="2" applyNumberFormat="1" applyFont="1" applyFill="1" applyBorder="1" applyAlignment="1">
      <alignment horizontal="center"/>
    </xf>
    <xf numFmtId="9" fontId="1" fillId="0" borderId="52" xfId="2" applyFont="1" applyBorder="1" applyAlignment="1">
      <alignment horizontal="center" vertical="top"/>
    </xf>
    <xf numFmtId="9" fontId="1" fillId="0" borderId="0" xfId="2" applyFont="1" applyBorder="1" applyAlignment="1">
      <alignment horizontal="center" vertical="top"/>
    </xf>
    <xf numFmtId="9" fontId="1" fillId="0" borderId="52" xfId="0" applyNumberFormat="1" applyFont="1" applyBorder="1" applyAlignment="1">
      <alignment horizontal="center" vertical="top"/>
    </xf>
    <xf numFmtId="9" fontId="1" fillId="0" borderId="57" xfId="0" applyNumberFormat="1" applyFont="1" applyBorder="1" applyAlignment="1">
      <alignment horizontal="center" vertical="top"/>
    </xf>
    <xf numFmtId="9" fontId="1" fillId="0" borderId="51" xfId="2" applyFont="1" applyBorder="1" applyAlignment="1">
      <alignment horizontal="center" vertical="center"/>
    </xf>
    <xf numFmtId="9" fontId="1" fillId="0" borderId="54" xfId="2" applyFont="1" applyBorder="1" applyAlignment="1">
      <alignment horizontal="center" vertical="center"/>
    </xf>
    <xf numFmtId="9" fontId="1" fillId="0" borderId="56" xfId="2" applyFont="1" applyBorder="1" applyAlignment="1">
      <alignment horizontal="center" vertical="center"/>
    </xf>
    <xf numFmtId="9" fontId="1" fillId="0" borderId="52" xfId="2" applyFont="1" applyBorder="1" applyAlignment="1">
      <alignment horizontal="center" vertical="center"/>
    </xf>
    <xf numFmtId="9" fontId="1" fillId="0" borderId="0" xfId="2" applyFont="1" applyBorder="1" applyAlignment="1">
      <alignment horizontal="center" vertical="center"/>
    </xf>
    <xf numFmtId="9" fontId="1" fillId="0" borderId="57" xfId="2" applyFont="1" applyBorder="1" applyAlignment="1">
      <alignment horizontal="center" vertical="center"/>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4" borderId="4" xfId="0" applyFont="1" applyFill="1" applyBorder="1" applyAlignment="1">
      <alignment horizontal="center" vertical="center" wrapText="1"/>
    </xf>
    <xf numFmtId="0" fontId="1" fillId="4" borderId="2" xfId="0" applyFont="1" applyFill="1" applyBorder="1" applyAlignment="1">
      <alignment horizontal="center" vertical="center" wrapText="1"/>
    </xf>
    <xf numFmtId="0" fontId="2" fillId="24" borderId="2" xfId="0" applyFont="1" applyFill="1" applyBorder="1" applyAlignment="1">
      <alignment horizontal="center" vertical="center" wrapText="1"/>
    </xf>
    <xf numFmtId="0" fontId="2" fillId="35" borderId="2" xfId="0" applyFont="1" applyFill="1" applyBorder="1" applyAlignment="1">
      <alignment horizontal="center" vertical="center" wrapText="1"/>
    </xf>
    <xf numFmtId="0" fontId="2" fillId="35" borderId="42" xfId="0" applyFont="1" applyFill="1" applyBorder="1" applyAlignment="1">
      <alignment horizontal="center" vertical="center" wrapText="1"/>
    </xf>
    <xf numFmtId="0" fontId="2" fillId="35" borderId="3" xfId="0" applyFont="1" applyFill="1" applyBorder="1" applyAlignment="1">
      <alignment horizontal="center" vertical="center" wrapText="1"/>
    </xf>
    <xf numFmtId="0" fontId="2" fillId="8" borderId="42" xfId="0" applyFont="1" applyFill="1" applyBorder="1" applyAlignment="1">
      <alignment horizontal="center" vertical="center" wrapText="1"/>
    </xf>
    <xf numFmtId="0" fontId="2" fillId="8" borderId="5" xfId="0" applyFont="1" applyFill="1" applyBorder="1" applyAlignment="1">
      <alignment horizontal="center" vertical="center" wrapText="1"/>
    </xf>
    <xf numFmtId="0" fontId="2" fillId="8" borderId="4" xfId="0" applyFont="1" applyFill="1" applyBorder="1" applyAlignment="1">
      <alignment horizontal="center" vertical="center" wrapText="1"/>
    </xf>
    <xf numFmtId="0" fontId="1" fillId="12" borderId="42" xfId="0" applyFont="1" applyFill="1" applyBorder="1" applyAlignment="1">
      <alignment horizontal="center" vertical="center" wrapText="1"/>
    </xf>
    <xf numFmtId="0" fontId="1" fillId="12" borderId="5" xfId="0" applyFont="1" applyFill="1" applyBorder="1" applyAlignment="1">
      <alignment horizontal="center" vertical="center" wrapText="1"/>
    </xf>
    <xf numFmtId="0" fontId="1" fillId="12" borderId="4" xfId="0" applyFont="1" applyFill="1" applyBorder="1" applyAlignment="1">
      <alignment horizontal="center" vertical="center" wrapText="1"/>
    </xf>
    <xf numFmtId="0" fontId="2" fillId="34" borderId="42" xfId="0" applyFont="1" applyFill="1" applyBorder="1" applyAlignment="1">
      <alignment horizontal="center" vertical="center" wrapText="1"/>
    </xf>
    <xf numFmtId="0" fontId="2" fillId="34" borderId="5" xfId="0" applyFont="1" applyFill="1" applyBorder="1" applyAlignment="1">
      <alignment horizontal="center" vertical="center" wrapText="1"/>
    </xf>
    <xf numFmtId="0" fontId="2" fillId="34" borderId="4" xfId="0" applyFont="1" applyFill="1" applyBorder="1" applyAlignment="1">
      <alignment horizontal="center" vertical="center" wrapText="1"/>
    </xf>
    <xf numFmtId="9" fontId="1" fillId="0" borderId="0" xfId="0" applyNumberFormat="1" applyFont="1" applyAlignment="1">
      <alignment horizontal="center" vertical="top"/>
    </xf>
    <xf numFmtId="0" fontId="3" fillId="7" borderId="48" xfId="0" applyFont="1" applyFill="1" applyBorder="1" applyAlignment="1">
      <alignment horizontal="center" vertical="top"/>
    </xf>
    <xf numFmtId="0" fontId="3" fillId="7" borderId="49" xfId="0" applyFont="1" applyFill="1" applyBorder="1" applyAlignment="1">
      <alignment horizontal="center" vertical="top"/>
    </xf>
    <xf numFmtId="0" fontId="16" fillId="7" borderId="49" xfId="0" applyFont="1" applyFill="1" applyBorder="1" applyAlignment="1">
      <alignment horizontal="center" vertical="top"/>
    </xf>
    <xf numFmtId="0" fontId="16" fillId="7" borderId="50" xfId="0" applyFont="1" applyFill="1" applyBorder="1" applyAlignment="1">
      <alignment horizontal="center" vertical="top"/>
    </xf>
    <xf numFmtId="166" fontId="1" fillId="0" borderId="52" xfId="0" applyNumberFormat="1" applyFont="1" applyBorder="1" applyAlignment="1">
      <alignment horizontal="center" vertical="top"/>
    </xf>
    <xf numFmtId="166" fontId="1" fillId="0" borderId="0" xfId="0" applyNumberFormat="1" applyFont="1" applyAlignment="1">
      <alignment horizontal="center" vertical="top"/>
    </xf>
    <xf numFmtId="9" fontId="1" fillId="0" borderId="53" xfId="2" applyFont="1" applyBorder="1" applyAlignment="1">
      <alignment horizontal="center" vertical="center"/>
    </xf>
    <xf numFmtId="9" fontId="1" fillId="0" borderId="55" xfId="2" applyFont="1" applyBorder="1" applyAlignment="1">
      <alignment horizontal="center" vertical="center"/>
    </xf>
    <xf numFmtId="9" fontId="1" fillId="0" borderId="58" xfId="2" applyFont="1" applyBorder="1" applyAlignment="1">
      <alignment horizontal="center" vertical="center"/>
    </xf>
    <xf numFmtId="17" fontId="16" fillId="7" borderId="48" xfId="0" applyNumberFormat="1" applyFont="1" applyFill="1" applyBorder="1" applyAlignment="1">
      <alignment horizontal="center" vertical="center" wrapText="1"/>
    </xf>
    <xf numFmtId="17" fontId="16" fillId="7" borderId="50" xfId="0" applyNumberFormat="1" applyFont="1" applyFill="1" applyBorder="1" applyAlignment="1">
      <alignment horizontal="center" vertical="center" wrapText="1"/>
    </xf>
    <xf numFmtId="9" fontId="1" fillId="0" borderId="36" xfId="2" applyFont="1" applyFill="1" applyBorder="1" applyAlignment="1">
      <alignment horizontal="center" vertical="center"/>
    </xf>
    <xf numFmtId="9" fontId="1" fillId="0" borderId="5" xfId="2" applyFont="1" applyFill="1" applyBorder="1" applyAlignment="1">
      <alignment horizontal="center" vertical="center"/>
    </xf>
    <xf numFmtId="9" fontId="1" fillId="0" borderId="6" xfId="2" applyFont="1" applyFill="1" applyBorder="1" applyAlignment="1">
      <alignment horizontal="center" vertical="center"/>
    </xf>
    <xf numFmtId="9" fontId="1" fillId="0" borderId="1" xfId="2" applyFont="1" applyFill="1" applyBorder="1" applyAlignment="1">
      <alignment horizontal="center" vertical="center"/>
    </xf>
    <xf numFmtId="0" fontId="1" fillId="0" borderId="36" xfId="0" applyFont="1" applyBorder="1" applyAlignment="1">
      <alignment horizontal="center" vertical="center"/>
    </xf>
    <xf numFmtId="0" fontId="1" fillId="0" borderId="5" xfId="0" applyFont="1" applyBorder="1" applyAlignment="1">
      <alignment horizontal="center" vertical="center"/>
    </xf>
    <xf numFmtId="0" fontId="1" fillId="0" borderId="6" xfId="0" applyFont="1" applyBorder="1" applyAlignment="1">
      <alignment horizontal="center" vertical="center"/>
    </xf>
    <xf numFmtId="0" fontId="1" fillId="0" borderId="1" xfId="0" applyFont="1" applyBorder="1" applyAlignment="1">
      <alignment horizontal="center" vertical="center"/>
    </xf>
    <xf numFmtId="0" fontId="1" fillId="12" borderId="1" xfId="0" applyFont="1" applyFill="1" applyBorder="1" applyAlignment="1">
      <alignment horizontal="center" vertical="center"/>
    </xf>
    <xf numFmtId="0" fontId="0" fillId="0" borderId="36"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36" xfId="0" applyBorder="1" applyAlignment="1">
      <alignment horizontal="center" vertical="center"/>
    </xf>
    <xf numFmtId="0" fontId="0" fillId="0" borderId="5" xfId="0" applyBorder="1" applyAlignment="1">
      <alignment horizontal="center" vertical="center"/>
    </xf>
    <xf numFmtId="0" fontId="0" fillId="0" borderId="6" xfId="0" applyBorder="1" applyAlignment="1">
      <alignment horizontal="center" vertical="center"/>
    </xf>
    <xf numFmtId="0" fontId="1" fillId="2" borderId="18" xfId="0" applyFont="1" applyFill="1" applyBorder="1" applyAlignment="1">
      <alignment vertical="top" wrapText="1"/>
    </xf>
    <xf numFmtId="0" fontId="1" fillId="2" borderId="18" xfId="0" applyFont="1" applyFill="1" applyBorder="1" applyAlignment="1">
      <alignment vertical="top"/>
    </xf>
    <xf numFmtId="0" fontId="1" fillId="2" borderId="20" xfId="0" applyFont="1" applyFill="1" applyBorder="1" applyAlignment="1">
      <alignment horizontal="center" vertical="top" wrapText="1"/>
    </xf>
    <xf numFmtId="0" fontId="1" fillId="2" borderId="60" xfId="0" applyFont="1" applyFill="1" applyBorder="1" applyAlignment="1">
      <alignment horizontal="center" vertical="top" wrapText="1"/>
    </xf>
    <xf numFmtId="0" fontId="1" fillId="2" borderId="30" xfId="0" applyFont="1" applyFill="1" applyBorder="1" applyAlignment="1" applyProtection="1">
      <alignment horizontal="center"/>
      <protection locked="0"/>
    </xf>
    <xf numFmtId="0" fontId="1" fillId="2" borderId="18" xfId="0" applyFont="1" applyFill="1" applyBorder="1" applyAlignment="1" applyProtection="1">
      <alignment horizontal="center"/>
      <protection locked="0"/>
    </xf>
    <xf numFmtId="0" fontId="1" fillId="2" borderId="31" xfId="0" applyFont="1" applyFill="1" applyBorder="1" applyAlignment="1" applyProtection="1">
      <alignment horizontal="center"/>
      <protection locked="0"/>
    </xf>
    <xf numFmtId="0" fontId="1" fillId="2" borderId="0" xfId="0" applyFont="1" applyFill="1" applyAlignment="1">
      <alignment horizontal="left" vertical="top"/>
    </xf>
    <xf numFmtId="14" fontId="1" fillId="2" borderId="18" xfId="0" applyNumberFormat="1" applyFont="1" applyFill="1" applyBorder="1" applyAlignment="1">
      <alignment horizontal="left" vertical="top"/>
    </xf>
    <xf numFmtId="0" fontId="1" fillId="2" borderId="18" xfId="0" applyFont="1" applyFill="1" applyBorder="1" applyAlignment="1">
      <alignment horizontal="left" vertical="top"/>
    </xf>
    <xf numFmtId="0" fontId="0" fillId="0" borderId="9" xfId="0" applyBorder="1" applyAlignment="1">
      <alignment horizontal="center" vertical="center"/>
    </xf>
    <xf numFmtId="0" fontId="0" fillId="0" borderId="13" xfId="0" applyBorder="1" applyAlignment="1">
      <alignment horizontal="center" vertical="center"/>
    </xf>
    <xf numFmtId="0" fontId="0" fillId="0" borderId="16" xfId="0" applyBorder="1" applyAlignment="1">
      <alignment horizontal="center" vertical="center"/>
    </xf>
    <xf numFmtId="0" fontId="1" fillId="2" borderId="30" xfId="0" applyFont="1" applyFill="1" applyBorder="1" applyAlignment="1" applyProtection="1">
      <alignment horizontal="center" wrapText="1"/>
      <protection locked="0"/>
    </xf>
    <xf numFmtId="0" fontId="1" fillId="2" borderId="18" xfId="0" applyFont="1" applyFill="1" applyBorder="1" applyAlignment="1" applyProtection="1">
      <alignment horizontal="center" wrapText="1"/>
      <protection locked="0"/>
    </xf>
    <xf numFmtId="0" fontId="1" fillId="2" borderId="31" xfId="0" applyFont="1" applyFill="1" applyBorder="1" applyAlignment="1" applyProtection="1">
      <alignment horizontal="center" wrapText="1"/>
      <protection locked="0"/>
    </xf>
    <xf numFmtId="0" fontId="0" fillId="0" borderId="36" xfId="0" applyBorder="1" applyAlignment="1">
      <alignment horizontal="center" vertical="center" wrapText="1"/>
    </xf>
    <xf numFmtId="0" fontId="0" fillId="0" borderId="5" xfId="0" applyBorder="1" applyAlignment="1">
      <alignment horizontal="center" vertical="center" wrapText="1"/>
    </xf>
    <xf numFmtId="0" fontId="0" fillId="0" borderId="6" xfId="0" applyBorder="1" applyAlignment="1">
      <alignment horizontal="center" vertical="center" wrapText="1"/>
    </xf>
    <xf numFmtId="0" fontId="7" fillId="2" borderId="7" xfId="0" applyFont="1" applyFill="1" applyBorder="1" applyAlignment="1">
      <alignment horizontal="left" vertical="center" wrapText="1" indent="28"/>
    </xf>
    <xf numFmtId="0" fontId="7" fillId="2" borderId="8" xfId="0" applyFont="1" applyFill="1" applyBorder="1" applyAlignment="1">
      <alignment horizontal="left" vertical="center" wrapText="1" indent="28"/>
    </xf>
    <xf numFmtId="0" fontId="7" fillId="2" borderId="9" xfId="0" applyFont="1" applyFill="1" applyBorder="1" applyAlignment="1">
      <alignment horizontal="left" vertical="center" wrapText="1" indent="28"/>
    </xf>
    <xf numFmtId="0" fontId="7" fillId="2" borderId="12" xfId="0" applyFont="1" applyFill="1" applyBorder="1" applyAlignment="1">
      <alignment horizontal="left" vertical="center" wrapText="1" indent="28"/>
    </xf>
    <xf numFmtId="0" fontId="7" fillId="2" borderId="0" xfId="0" applyFont="1" applyFill="1" applyAlignment="1">
      <alignment horizontal="left" vertical="center" wrapText="1" indent="28"/>
    </xf>
    <xf numFmtId="0" fontId="7" fillId="2" borderId="13" xfId="0" applyFont="1" applyFill="1" applyBorder="1" applyAlignment="1">
      <alignment horizontal="left" vertical="center" wrapText="1" indent="28"/>
    </xf>
    <xf numFmtId="0" fontId="7" fillId="2" borderId="14" xfId="0" applyFont="1" applyFill="1" applyBorder="1" applyAlignment="1">
      <alignment horizontal="left" vertical="center" wrapText="1" indent="28"/>
    </xf>
    <xf numFmtId="0" fontId="7" fillId="2" borderId="15" xfId="0" applyFont="1" applyFill="1" applyBorder="1" applyAlignment="1">
      <alignment horizontal="left" vertical="center" wrapText="1" indent="28"/>
    </xf>
    <xf numFmtId="0" fontId="7" fillId="2" borderId="16" xfId="0" applyFont="1" applyFill="1" applyBorder="1" applyAlignment="1">
      <alignment horizontal="left" vertical="center" wrapText="1" indent="28"/>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175" fontId="4" fillId="2" borderId="10" xfId="0" applyNumberFormat="1" applyFont="1" applyFill="1" applyBorder="1" applyAlignment="1">
      <alignment horizontal="center" vertical="center" wrapText="1"/>
    </xf>
    <xf numFmtId="175" fontId="4" fillId="2" borderId="11" xfId="0" applyNumberFormat="1" applyFont="1" applyFill="1" applyBorder="1" applyAlignment="1">
      <alignment horizontal="center" vertical="center" wrapText="1"/>
    </xf>
    <xf numFmtId="15" fontId="4" fillId="2" borderId="10" xfId="0" applyNumberFormat="1" applyFont="1" applyFill="1" applyBorder="1" applyAlignment="1">
      <alignment horizontal="center" vertical="center" wrapText="1"/>
    </xf>
    <xf numFmtId="15" fontId="4" fillId="2" borderId="11" xfId="0" applyNumberFormat="1" applyFont="1" applyFill="1" applyBorder="1" applyAlignment="1">
      <alignment horizontal="center" vertical="center" wrapText="1"/>
    </xf>
    <xf numFmtId="0" fontId="3" fillId="2" borderId="17" xfId="0" applyFont="1" applyFill="1" applyBorder="1" applyAlignment="1">
      <alignment vertical="top" wrapText="1"/>
    </xf>
    <xf numFmtId="9" fontId="1" fillId="2" borderId="18" xfId="0" applyNumberFormat="1" applyFont="1" applyFill="1" applyBorder="1" applyAlignment="1">
      <alignment horizontal="left" vertical="top" wrapText="1"/>
    </xf>
    <xf numFmtId="0" fontId="1" fillId="2" borderId="18" xfId="0" applyFont="1" applyFill="1" applyBorder="1" applyAlignment="1">
      <alignment horizontal="left" vertical="top" wrapText="1"/>
    </xf>
    <xf numFmtId="0" fontId="1" fillId="2" borderId="0" xfId="0" applyFont="1" applyFill="1" applyAlignment="1">
      <alignment vertical="top" wrapText="1"/>
    </xf>
    <xf numFmtId="0" fontId="1" fillId="2" borderId="17" xfId="0" applyFont="1" applyFill="1" applyBorder="1" applyAlignment="1">
      <alignment vertical="top" wrapText="1"/>
    </xf>
    <xf numFmtId="0" fontId="1" fillId="2" borderId="30" xfId="0" applyFont="1" applyFill="1" applyBorder="1" applyAlignment="1" applyProtection="1">
      <alignment horizontal="left" wrapText="1"/>
      <protection locked="0"/>
    </xf>
    <xf numFmtId="0" fontId="1" fillId="2" borderId="18" xfId="0" applyFont="1" applyFill="1" applyBorder="1" applyAlignment="1" applyProtection="1">
      <alignment horizontal="left" wrapText="1"/>
      <protection locked="0"/>
    </xf>
    <xf numFmtId="0" fontId="1" fillId="2" borderId="31" xfId="0" applyFont="1" applyFill="1" applyBorder="1" applyAlignment="1" applyProtection="1">
      <alignment horizontal="left" wrapText="1"/>
      <protection locked="0"/>
    </xf>
    <xf numFmtId="0" fontId="1" fillId="2" borderId="2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0" fontId="1" fillId="2" borderId="28" xfId="0" applyFont="1" applyFill="1" applyBorder="1" applyAlignment="1" applyProtection="1">
      <alignment horizontal="center" vertical="center" wrapText="1"/>
      <protection locked="0"/>
    </xf>
    <xf numFmtId="0" fontId="1" fillId="2" borderId="27" xfId="0" applyFont="1" applyFill="1" applyBorder="1" applyAlignment="1" applyProtection="1">
      <alignment horizontal="center" wrapText="1"/>
      <protection locked="0"/>
    </xf>
    <xf numFmtId="0" fontId="1" fillId="2" borderId="17" xfId="0" applyFont="1" applyFill="1" applyBorder="1" applyAlignment="1" applyProtection="1">
      <alignment horizontal="center" wrapText="1"/>
      <protection locked="0"/>
    </xf>
    <xf numFmtId="0" fontId="1" fillId="2" borderId="28" xfId="0" applyFont="1" applyFill="1" applyBorder="1" applyAlignment="1" applyProtection="1">
      <alignment horizontal="center" wrapText="1"/>
      <protection locked="0"/>
    </xf>
    <xf numFmtId="0" fontId="1" fillId="2" borderId="32" xfId="0" applyFont="1" applyFill="1" applyBorder="1" applyAlignment="1" applyProtection="1">
      <alignment horizontal="left" vertical="top" wrapText="1"/>
      <protection locked="0"/>
    </xf>
    <xf numFmtId="0" fontId="1" fillId="2" borderId="18" xfId="0" applyFont="1" applyFill="1" applyBorder="1" applyAlignment="1" applyProtection="1">
      <alignment horizontal="left" vertical="top" wrapText="1"/>
      <protection locked="0"/>
    </xf>
    <xf numFmtId="0" fontId="1" fillId="2" borderId="31" xfId="0" applyFont="1" applyFill="1" applyBorder="1" applyAlignment="1" applyProtection="1">
      <alignment horizontal="left" vertical="top" wrapText="1"/>
      <protection locked="0"/>
    </xf>
    <xf numFmtId="0" fontId="1" fillId="2" borderId="32" xfId="0" applyFont="1" applyFill="1" applyBorder="1" applyAlignment="1" applyProtection="1">
      <alignment horizontal="left" vertical="center" wrapText="1"/>
      <protection locked="0"/>
    </xf>
    <xf numFmtId="0" fontId="1" fillId="2" borderId="18" xfId="0" applyFont="1" applyFill="1" applyBorder="1" applyAlignment="1" applyProtection="1">
      <alignment horizontal="left" vertical="center" wrapText="1"/>
      <protection locked="0"/>
    </xf>
    <xf numFmtId="0" fontId="1" fillId="2" borderId="3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center" vertical="center" wrapText="1"/>
      <protection locked="0"/>
    </xf>
    <xf numFmtId="0" fontId="37" fillId="2" borderId="0" xfId="0" applyFont="1" applyFill="1" applyAlignment="1">
      <alignment vertical="center" textRotation="255" wrapText="1"/>
    </xf>
    <xf numFmtId="0" fontId="1" fillId="2" borderId="1" xfId="0" applyFont="1" applyFill="1" applyBorder="1" applyAlignment="1">
      <alignment horizontal="center" vertical="center" wrapText="1"/>
    </xf>
    <xf numFmtId="0" fontId="0" fillId="0" borderId="0" xfId="0"/>
    <xf numFmtId="0" fontId="1" fillId="2" borderId="21" xfId="0" applyFont="1" applyFill="1" applyBorder="1" applyAlignment="1">
      <alignment horizontal="center" vertical="top" wrapText="1"/>
    </xf>
    <xf numFmtId="0" fontId="14" fillId="2" borderId="18" xfId="5" applyFill="1" applyBorder="1" applyAlignment="1">
      <alignment vertical="top" wrapText="1"/>
    </xf>
    <xf numFmtId="0" fontId="1" fillId="2" borderId="32" xfId="0" applyFont="1" applyFill="1" applyBorder="1" applyAlignment="1" applyProtection="1">
      <alignment horizontal="center" vertical="top" wrapText="1"/>
      <protection locked="0"/>
    </xf>
    <xf numFmtId="0" fontId="1" fillId="2" borderId="18" xfId="0" applyFont="1" applyFill="1" applyBorder="1" applyAlignment="1" applyProtection="1">
      <alignment horizontal="center" vertical="top" wrapText="1"/>
      <protection locked="0"/>
    </xf>
    <xf numFmtId="0" fontId="1" fillId="2" borderId="31" xfId="0" applyFont="1" applyFill="1" applyBorder="1" applyAlignment="1" applyProtection="1">
      <alignment horizontal="center" vertical="top" wrapText="1"/>
      <protection locked="0"/>
    </xf>
    <xf numFmtId="0" fontId="1" fillId="2" borderId="10" xfId="0" applyFont="1" applyFill="1" applyBorder="1" applyAlignment="1" applyProtection="1">
      <alignment horizontal="center" vertical="top" wrapText="1"/>
      <protection locked="0"/>
    </xf>
    <xf numFmtId="0" fontId="1" fillId="2" borderId="24" xfId="0" applyFont="1" applyFill="1" applyBorder="1" applyAlignment="1" applyProtection="1">
      <alignment horizontal="center" vertical="top" wrapText="1"/>
      <protection locked="0"/>
    </xf>
    <xf numFmtId="0" fontId="1" fillId="2" borderId="11" xfId="0" applyFont="1" applyFill="1" applyBorder="1" applyAlignment="1" applyProtection="1">
      <alignment horizontal="center" vertical="top" wrapText="1"/>
      <protection locked="0"/>
    </xf>
    <xf numFmtId="166" fontId="0" fillId="0" borderId="10" xfId="2" applyNumberFormat="1" applyFont="1" applyBorder="1" applyAlignment="1">
      <alignment horizontal="center" vertical="top"/>
    </xf>
    <xf numFmtId="166" fontId="0" fillId="0" borderId="11" xfId="2" applyNumberFormat="1" applyFont="1" applyBorder="1" applyAlignment="1">
      <alignment horizontal="center" vertical="top"/>
    </xf>
    <xf numFmtId="0" fontId="0" fillId="0" borderId="1" xfId="0" applyBorder="1" applyAlignment="1">
      <alignment horizontal="center" vertical="top" wrapText="1"/>
    </xf>
    <xf numFmtId="166" fontId="0" fillId="2" borderId="10" xfId="2" applyNumberFormat="1" applyFont="1" applyFill="1" applyBorder="1" applyAlignment="1">
      <alignment horizontal="center" vertical="top"/>
    </xf>
    <xf numFmtId="166" fontId="0" fillId="2" borderId="11" xfId="2" applyNumberFormat="1" applyFont="1" applyFill="1" applyBorder="1" applyAlignment="1">
      <alignment horizontal="center" vertical="top"/>
    </xf>
    <xf numFmtId="0" fontId="6" fillId="0" borderId="0" xfId="0" applyFont="1" applyAlignment="1">
      <alignment horizontal="left" vertical="center" wrapText="1"/>
    </xf>
    <xf numFmtId="0" fontId="6" fillId="0" borderId="15" xfId="0" applyFont="1" applyBorder="1" applyAlignment="1">
      <alignment horizontal="left" vertical="center" wrapText="1"/>
    </xf>
    <xf numFmtId="0" fontId="0" fillId="0" borderId="8" xfId="0" applyBorder="1" applyAlignment="1">
      <alignment horizontal="left" vertical="center" wrapText="1"/>
    </xf>
    <xf numFmtId="0" fontId="0" fillId="0" borderId="0" xfId="0" applyAlignment="1">
      <alignment horizontal="left" vertical="center" wrapText="1"/>
    </xf>
    <xf numFmtId="0" fontId="0" fillId="0" borderId="15" xfId="0" applyBorder="1" applyAlignment="1">
      <alignment horizontal="left" vertical="center" wrapText="1"/>
    </xf>
    <xf numFmtId="0" fontId="0" fillId="0" borderId="8" xfId="0" applyBorder="1" applyAlignment="1">
      <alignment horizontal="center" vertical="center"/>
    </xf>
    <xf numFmtId="0" fontId="0" fillId="0" borderId="0" xfId="0" applyAlignment="1">
      <alignment horizontal="center" vertical="center"/>
    </xf>
    <xf numFmtId="0" fontId="0" fillId="0" borderId="15" xfId="0" applyBorder="1" applyAlignment="1">
      <alignment horizontal="center" vertical="center"/>
    </xf>
    <xf numFmtId="9" fontId="0" fillId="0" borderId="10" xfId="2" applyFont="1" applyBorder="1" applyAlignment="1">
      <alignment horizontal="center" vertical="top"/>
    </xf>
    <xf numFmtId="9" fontId="0" fillId="0" borderId="11" xfId="2" applyFont="1" applyBorder="1" applyAlignment="1">
      <alignment horizontal="center" vertical="top"/>
    </xf>
    <xf numFmtId="0" fontId="0" fillId="2" borderId="10" xfId="0" applyFill="1" applyBorder="1" applyAlignment="1">
      <alignment vertical="top" wrapText="1"/>
    </xf>
    <xf numFmtId="0" fontId="0" fillId="2" borderId="24" xfId="0" applyFill="1" applyBorder="1" applyAlignment="1">
      <alignment vertical="top" wrapText="1"/>
    </xf>
    <xf numFmtId="0" fontId="0" fillId="2" borderId="11" xfId="0" applyFill="1" applyBorder="1" applyAlignment="1">
      <alignment vertical="top" wrapText="1"/>
    </xf>
    <xf numFmtId="0" fontId="0" fillId="0" borderId="1" xfId="0" applyBorder="1" applyAlignment="1">
      <alignment vertical="top" wrapText="1"/>
    </xf>
    <xf numFmtId="0" fontId="0" fillId="0" borderId="10" xfId="0" applyBorder="1" applyAlignment="1">
      <alignment vertical="top" wrapText="1"/>
    </xf>
    <xf numFmtId="0" fontId="0" fillId="0" borderId="24" xfId="0" applyBorder="1" applyAlignment="1">
      <alignment vertical="top" wrapText="1"/>
    </xf>
    <xf numFmtId="0" fontId="0" fillId="0" borderId="11" xfId="0" applyBorder="1" applyAlignment="1">
      <alignment vertical="top" wrapText="1"/>
    </xf>
    <xf numFmtId="9" fontId="0" fillId="0" borderId="10" xfId="2" applyFont="1" applyBorder="1" applyAlignment="1">
      <alignment horizontal="center" vertical="top" wrapText="1"/>
    </xf>
    <xf numFmtId="9" fontId="0" fillId="0" borderId="11" xfId="2" applyFont="1" applyBorder="1" applyAlignment="1">
      <alignment horizontal="center" vertical="top" wrapText="1"/>
    </xf>
    <xf numFmtId="0" fontId="6" fillId="0" borderId="10" xfId="0" applyFont="1" applyBorder="1" applyAlignment="1">
      <alignment horizontal="center" vertical="top" wrapText="1"/>
    </xf>
    <xf numFmtId="0" fontId="6" fillId="0" borderId="24" xfId="0" applyFont="1" applyBorder="1" applyAlignment="1">
      <alignment horizontal="center" vertical="top" wrapText="1"/>
    </xf>
    <xf numFmtId="0" fontId="6" fillId="0" borderId="11" xfId="0" applyFont="1" applyBorder="1" applyAlignment="1">
      <alignment horizontal="center" vertical="top" wrapText="1"/>
    </xf>
    <xf numFmtId="0" fontId="6" fillId="0" borderId="10" xfId="0" applyFont="1" applyBorder="1" applyAlignment="1">
      <alignment horizontal="center" vertical="top"/>
    </xf>
    <xf numFmtId="0" fontId="6" fillId="0" borderId="24" xfId="0" applyFont="1" applyBorder="1" applyAlignment="1">
      <alignment horizontal="center" vertical="top"/>
    </xf>
    <xf numFmtId="0" fontId="6" fillId="0" borderId="11" xfId="0" applyFont="1" applyBorder="1" applyAlignment="1">
      <alignment horizontal="center" vertical="top"/>
    </xf>
    <xf numFmtId="0" fontId="6" fillId="9" borderId="10" xfId="0" applyFont="1" applyFill="1" applyBorder="1" applyAlignment="1">
      <alignment horizontal="center" vertical="top"/>
    </xf>
    <xf numFmtId="0" fontId="6" fillId="9" borderId="24" xfId="0" applyFont="1" applyFill="1" applyBorder="1" applyAlignment="1">
      <alignment horizontal="center" vertical="top"/>
    </xf>
    <xf numFmtId="0" fontId="6" fillId="9" borderId="11" xfId="0" applyFont="1" applyFill="1" applyBorder="1" applyAlignment="1">
      <alignment horizontal="center" vertical="top"/>
    </xf>
    <xf numFmtId="0" fontId="1" fillId="2" borderId="30" xfId="0" applyFont="1" applyFill="1" applyBorder="1" applyAlignment="1" applyProtection="1">
      <alignment vertical="top" wrapText="1"/>
      <protection locked="0"/>
    </xf>
    <xf numFmtId="0" fontId="1" fillId="2" borderId="18" xfId="0" applyFont="1" applyFill="1" applyBorder="1" applyAlignment="1" applyProtection="1">
      <alignment vertical="top" wrapText="1"/>
      <protection locked="0"/>
    </xf>
    <xf numFmtId="0" fontId="1" fillId="2" borderId="31" xfId="0" applyFont="1" applyFill="1" applyBorder="1" applyAlignment="1" applyProtection="1">
      <alignment vertical="top" wrapText="1"/>
      <protection locked="0"/>
    </xf>
    <xf numFmtId="0" fontId="3" fillId="10" borderId="12" xfId="0" applyFont="1" applyFill="1" applyBorder="1" applyAlignment="1">
      <alignment horizontal="center" vertical="center"/>
    </xf>
    <xf numFmtId="0" fontId="0" fillId="0" borderId="36" xfId="0" applyBorder="1" applyAlignment="1">
      <alignment horizontal="center" vertical="top" wrapText="1"/>
    </xf>
    <xf numFmtId="0" fontId="0" fillId="0" borderId="5" xfId="0" applyBorder="1" applyAlignment="1">
      <alignment horizontal="center" vertical="top" wrapText="1"/>
    </xf>
    <xf numFmtId="0" fontId="0" fillId="0" borderId="6" xfId="0" applyBorder="1" applyAlignment="1">
      <alignment horizontal="center" vertical="top" wrapText="1"/>
    </xf>
    <xf numFmtId="0" fontId="0" fillId="0" borderId="1" xfId="0" applyBorder="1" applyAlignment="1">
      <alignment horizontal="center" vertical="center" wrapText="1"/>
    </xf>
    <xf numFmtId="0" fontId="6" fillId="0" borderId="1" xfId="0" applyFont="1" applyBorder="1" applyAlignment="1">
      <alignment horizontal="center" vertical="top" wrapText="1"/>
    </xf>
    <xf numFmtId="0" fontId="6" fillId="0" borderId="1" xfId="0" applyFont="1" applyBorder="1" applyAlignment="1">
      <alignment horizontal="center" vertical="top"/>
    </xf>
    <xf numFmtId="0" fontId="1" fillId="2" borderId="10" xfId="0" applyFont="1" applyFill="1" applyBorder="1" applyAlignment="1" applyProtection="1">
      <alignment horizontal="center" vertical="center" wrapText="1"/>
      <protection locked="0"/>
    </xf>
    <xf numFmtId="0" fontId="1" fillId="2" borderId="24" xfId="0" applyFont="1" applyFill="1" applyBorder="1" applyAlignment="1" applyProtection="1">
      <alignment horizontal="center" vertical="center" wrapText="1"/>
      <protection locked="0"/>
    </xf>
    <xf numFmtId="0" fontId="1" fillId="2" borderId="11" xfId="0" applyFont="1" applyFill="1" applyBorder="1" applyAlignment="1" applyProtection="1">
      <alignment horizontal="center" vertical="center" wrapText="1"/>
      <protection locked="0"/>
    </xf>
    <xf numFmtId="0" fontId="54" fillId="0" borderId="10" xfId="0" applyFont="1" applyBorder="1" applyAlignment="1">
      <alignment horizontal="center" vertical="center" wrapText="1"/>
    </xf>
    <xf numFmtId="0" fontId="54" fillId="0" borderId="24" xfId="0" applyFont="1" applyBorder="1" applyAlignment="1">
      <alignment horizontal="center" vertical="center" wrapText="1"/>
    </xf>
    <xf numFmtId="0" fontId="54" fillId="0" borderId="11" xfId="0" applyFont="1" applyBorder="1" applyAlignment="1">
      <alignment horizontal="center" vertical="center" wrapText="1"/>
    </xf>
    <xf numFmtId="9" fontId="1" fillId="2" borderId="10" xfId="2" applyFont="1" applyFill="1" applyBorder="1" applyAlignment="1">
      <alignment horizontal="center" vertical="center"/>
    </xf>
    <xf numFmtId="9" fontId="1" fillId="2" borderId="24" xfId="2" applyFont="1" applyFill="1" applyBorder="1" applyAlignment="1">
      <alignment horizontal="center" vertical="center"/>
    </xf>
    <xf numFmtId="9" fontId="1" fillId="2" borderId="11" xfId="2" applyFont="1" applyFill="1" applyBorder="1" applyAlignment="1">
      <alignment horizontal="center" vertical="center"/>
    </xf>
    <xf numFmtId="0" fontId="52" fillId="0" borderId="80" xfId="0" applyFont="1" applyBorder="1" applyAlignment="1">
      <alignment horizontal="center" vertical="center" wrapText="1"/>
    </xf>
    <xf numFmtId="0" fontId="52" fillId="0" borderId="81" xfId="0" applyFont="1" applyBorder="1" applyAlignment="1">
      <alignment horizontal="center" vertical="center" wrapText="1"/>
    </xf>
    <xf numFmtId="0" fontId="52" fillId="0" borderId="82" xfId="0" applyFont="1" applyBorder="1" applyAlignment="1">
      <alignment horizontal="center" vertical="center" wrapText="1"/>
    </xf>
    <xf numFmtId="0" fontId="3" fillId="2" borderId="7" xfId="0" applyFont="1" applyFill="1" applyBorder="1" applyAlignment="1">
      <alignment horizontal="center" vertical="center"/>
    </xf>
    <xf numFmtId="0" fontId="3" fillId="2" borderId="8" xfId="0" applyFont="1" applyFill="1" applyBorder="1" applyAlignment="1">
      <alignment horizontal="center" vertical="center"/>
    </xf>
    <xf numFmtId="0" fontId="3" fillId="2" borderId="9" xfId="0" applyFont="1" applyFill="1" applyBorder="1" applyAlignment="1">
      <alignment horizontal="center" vertical="center"/>
    </xf>
    <xf numFmtId="0" fontId="3" fillId="2" borderId="10" xfId="0" applyFont="1" applyFill="1" applyBorder="1" applyAlignment="1">
      <alignment horizontal="center" vertical="top"/>
    </xf>
    <xf numFmtId="0" fontId="3" fillId="2" borderId="24" xfId="0" applyFont="1" applyFill="1" applyBorder="1" applyAlignment="1">
      <alignment horizontal="center" vertical="top"/>
    </xf>
    <xf numFmtId="0" fontId="3" fillId="2" borderId="11" xfId="0" applyFont="1" applyFill="1" applyBorder="1" applyAlignment="1">
      <alignment horizontal="center" vertical="top"/>
    </xf>
    <xf numFmtId="0" fontId="1" fillId="2" borderId="44" xfId="0" applyFont="1" applyFill="1" applyBorder="1" applyAlignment="1" applyProtection="1">
      <alignment horizontal="left" vertical="top" wrapText="1"/>
      <protection locked="0"/>
    </xf>
    <xf numFmtId="0" fontId="1" fillId="2" borderId="17" xfId="0" applyFont="1" applyFill="1" applyBorder="1" applyAlignment="1" applyProtection="1">
      <alignment horizontal="left" vertical="top" wrapText="1"/>
      <protection locked="0"/>
    </xf>
    <xf numFmtId="0" fontId="1" fillId="2" borderId="28" xfId="0" applyFont="1" applyFill="1" applyBorder="1" applyAlignment="1" applyProtection="1">
      <alignment horizontal="left" vertical="top" wrapText="1"/>
      <protection locked="0"/>
    </xf>
    <xf numFmtId="0" fontId="1" fillId="2" borderId="27" xfId="0" applyFont="1" applyFill="1" applyBorder="1" applyAlignment="1" applyProtection="1">
      <alignment horizontal="left" vertical="top"/>
      <protection locked="0"/>
    </xf>
    <xf numFmtId="0" fontId="1" fillId="2" borderId="17" xfId="0" applyFont="1" applyFill="1" applyBorder="1" applyAlignment="1" applyProtection="1">
      <alignment horizontal="left" vertical="top"/>
      <protection locked="0"/>
    </xf>
    <xf numFmtId="0" fontId="1" fillId="2" borderId="28" xfId="0" applyFont="1" applyFill="1" applyBorder="1" applyAlignment="1" applyProtection="1">
      <alignment horizontal="left" vertical="top"/>
      <protection locked="0"/>
    </xf>
    <xf numFmtId="0" fontId="1" fillId="2" borderId="19" xfId="0" applyFont="1" applyFill="1" applyBorder="1" applyAlignment="1">
      <alignment vertical="top" wrapText="1"/>
    </xf>
    <xf numFmtId="0" fontId="1" fillId="11" borderId="20" xfId="0" applyFont="1" applyFill="1" applyBorder="1" applyAlignment="1">
      <alignment horizontal="center" vertical="top" wrapText="1"/>
    </xf>
    <xf numFmtId="0" fontId="1" fillId="11" borderId="21" xfId="0" applyFont="1" applyFill="1" applyBorder="1" applyAlignment="1">
      <alignment horizontal="center" vertical="top" wrapText="1"/>
    </xf>
    <xf numFmtId="0" fontId="1" fillId="2" borderId="27" xfId="0" applyFont="1" applyFill="1" applyBorder="1" applyAlignment="1" applyProtection="1">
      <alignment horizontal="left" vertical="top" wrapText="1"/>
      <protection locked="0"/>
    </xf>
    <xf numFmtId="0" fontId="3" fillId="2" borderId="1" xfId="0" applyFont="1" applyFill="1" applyBorder="1" applyAlignment="1">
      <alignment horizontal="center" vertical="center"/>
    </xf>
    <xf numFmtId="0" fontId="3" fillId="2" borderId="10" xfId="0" applyFont="1" applyFill="1" applyBorder="1" applyAlignment="1">
      <alignment horizontal="center" vertical="center" wrapText="1"/>
    </xf>
    <xf numFmtId="0" fontId="3" fillId="2" borderId="24"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1" fillId="2" borderId="1" xfId="0" applyFont="1" applyFill="1" applyBorder="1" applyAlignment="1">
      <alignment horizontal="center"/>
    </xf>
    <xf numFmtId="9" fontId="1" fillId="2" borderId="10" xfId="2" applyFont="1" applyFill="1" applyBorder="1" applyAlignment="1">
      <alignment horizontal="center"/>
    </xf>
    <xf numFmtId="9" fontId="1" fillId="2" borderId="11" xfId="2" applyFont="1" applyFill="1" applyBorder="1" applyAlignment="1">
      <alignment horizontal="center"/>
    </xf>
    <xf numFmtId="9" fontId="1" fillId="2" borderId="1" xfId="2" applyFont="1" applyFill="1" applyBorder="1" applyAlignment="1">
      <alignment horizontal="center"/>
    </xf>
    <xf numFmtId="0" fontId="1" fillId="2" borderId="10" xfId="0" applyFont="1" applyFill="1" applyBorder="1" applyAlignment="1">
      <alignment horizontal="center" vertical="center"/>
    </xf>
    <xf numFmtId="0" fontId="1" fillId="2" borderId="24" xfId="0" applyFont="1" applyFill="1" applyBorder="1" applyAlignment="1">
      <alignment horizontal="center" vertical="center"/>
    </xf>
    <xf numFmtId="0" fontId="1" fillId="2" borderId="11" xfId="0" applyFont="1" applyFill="1" applyBorder="1" applyAlignment="1">
      <alignment horizontal="center" vertical="center"/>
    </xf>
    <xf numFmtId="0" fontId="1" fillId="2" borderId="10" xfId="0" applyFont="1" applyFill="1" applyBorder="1" applyAlignment="1">
      <alignment horizontal="center"/>
    </xf>
    <xf numFmtId="0" fontId="1" fillId="2" borderId="11" xfId="0" applyFont="1" applyFill="1" applyBorder="1" applyAlignment="1">
      <alignment horizontal="center"/>
    </xf>
    <xf numFmtId="0" fontId="3" fillId="2" borderId="10" xfId="0" applyFont="1" applyFill="1" applyBorder="1" applyAlignment="1">
      <alignment horizontal="center" vertical="center"/>
    </xf>
    <xf numFmtId="0" fontId="3" fillId="2" borderId="24"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 xfId="0" applyFont="1" applyFill="1" applyBorder="1" applyAlignment="1">
      <alignment horizontal="center" vertical="center" wrapText="1"/>
    </xf>
    <xf numFmtId="0" fontId="1" fillId="2" borderId="32" xfId="0" applyFont="1" applyFill="1" applyBorder="1" applyAlignment="1" applyProtection="1">
      <alignment vertical="top" wrapText="1"/>
      <protection locked="0"/>
    </xf>
    <xf numFmtId="0" fontId="1" fillId="2" borderId="32" xfId="0" applyFont="1" applyFill="1" applyBorder="1" applyAlignment="1" applyProtection="1">
      <alignment horizontal="left" vertical="center"/>
      <protection locked="0"/>
    </xf>
    <xf numFmtId="0" fontId="1" fillId="2" borderId="18" xfId="0" applyFont="1" applyFill="1" applyBorder="1" applyAlignment="1" applyProtection="1">
      <alignment horizontal="left" vertical="center"/>
      <protection locked="0"/>
    </xf>
    <xf numFmtId="0" fontId="1" fillId="2" borderId="31" xfId="0" applyFont="1" applyFill="1" applyBorder="1" applyAlignment="1" applyProtection="1">
      <alignment horizontal="left" vertical="center"/>
      <protection locked="0"/>
    </xf>
    <xf numFmtId="0" fontId="1" fillId="2" borderId="27" xfId="0" applyFont="1" applyFill="1" applyBorder="1" applyAlignment="1" applyProtection="1">
      <alignment horizontal="left" wrapText="1"/>
      <protection locked="0"/>
    </xf>
    <xf numFmtId="0" fontId="1" fillId="2" borderId="17" xfId="0" applyFont="1" applyFill="1" applyBorder="1" applyAlignment="1" applyProtection="1">
      <alignment horizontal="left" wrapText="1"/>
      <protection locked="0"/>
    </xf>
    <xf numFmtId="0" fontId="1" fillId="2" borderId="28" xfId="0" applyFont="1" applyFill="1" applyBorder="1" applyAlignment="1" applyProtection="1">
      <alignment horizontal="left" wrapText="1"/>
      <protection locked="0"/>
    </xf>
    <xf numFmtId="42" fontId="1" fillId="2" borderId="1" xfId="21" applyFont="1" applyFill="1" applyBorder="1" applyAlignment="1">
      <alignment horizontal="center" vertical="center"/>
    </xf>
    <xf numFmtId="10" fontId="1" fillId="2" borderId="1" xfId="2" applyNumberFormat="1" applyFont="1" applyFill="1" applyBorder="1" applyAlignment="1">
      <alignment horizontal="center" vertical="center"/>
    </xf>
    <xf numFmtId="42" fontId="1" fillId="2" borderId="10" xfId="21" applyFont="1" applyFill="1" applyBorder="1" applyAlignment="1">
      <alignment horizontal="center" vertical="center"/>
    </xf>
    <xf numFmtId="42" fontId="1" fillId="2" borderId="24" xfId="21" applyFont="1" applyFill="1" applyBorder="1" applyAlignment="1">
      <alignment horizontal="center" vertical="center"/>
    </xf>
    <xf numFmtId="42" fontId="1" fillId="2" borderId="11" xfId="21" applyFont="1" applyFill="1" applyBorder="1" applyAlignment="1">
      <alignment horizontal="center" vertical="center"/>
    </xf>
    <xf numFmtId="6" fontId="1" fillId="2" borderId="10" xfId="21" applyNumberFormat="1" applyFont="1" applyFill="1" applyBorder="1" applyAlignment="1">
      <alignment horizontal="right" vertical="center"/>
    </xf>
    <xf numFmtId="6" fontId="1" fillId="2" borderId="24" xfId="21" applyNumberFormat="1" applyFont="1" applyFill="1" applyBorder="1" applyAlignment="1">
      <alignment horizontal="right" vertical="center"/>
    </xf>
    <xf numFmtId="6" fontId="1" fillId="2" borderId="11" xfId="21" applyNumberFormat="1" applyFont="1" applyFill="1" applyBorder="1" applyAlignment="1">
      <alignment horizontal="right" vertical="center"/>
    </xf>
    <xf numFmtId="0" fontId="1" fillId="11" borderId="60" xfId="0" applyFont="1" applyFill="1" applyBorder="1" applyAlignment="1">
      <alignment horizontal="center" vertical="top" wrapText="1"/>
    </xf>
    <xf numFmtId="42" fontId="1" fillId="2" borderId="1" xfId="40" applyFont="1" applyFill="1" applyBorder="1" applyAlignment="1">
      <alignment horizontal="center" vertical="center"/>
    </xf>
    <xf numFmtId="0" fontId="1" fillId="2" borderId="24" xfId="0" applyFont="1" applyFill="1" applyBorder="1" applyAlignment="1">
      <alignment horizontal="center"/>
    </xf>
    <xf numFmtId="0" fontId="1" fillId="2" borderId="65" xfId="0" applyFont="1" applyFill="1" applyBorder="1" applyAlignment="1">
      <alignment horizontal="center"/>
    </xf>
    <xf numFmtId="0" fontId="1" fillId="2" borderId="43" xfId="0" applyFont="1" applyFill="1" applyBorder="1" applyAlignment="1" applyProtection="1">
      <alignment horizontal="left" vertical="top" wrapText="1"/>
      <protection locked="0"/>
    </xf>
    <xf numFmtId="0" fontId="1" fillId="2" borderId="19" xfId="0" applyFont="1" applyFill="1" applyBorder="1" applyAlignment="1" applyProtection="1">
      <alignment horizontal="left" vertical="top" wrapText="1"/>
      <protection locked="0"/>
    </xf>
    <xf numFmtId="0" fontId="1" fillId="2" borderId="35" xfId="0" applyFont="1" applyFill="1" applyBorder="1" applyAlignment="1" applyProtection="1">
      <alignment horizontal="left" vertical="top" wrapText="1"/>
      <protection locked="0"/>
    </xf>
    <xf numFmtId="0" fontId="1" fillId="2" borderId="34" xfId="0" applyFont="1" applyFill="1" applyBorder="1" applyAlignment="1" applyProtection="1">
      <alignment horizontal="left" vertical="top" wrapText="1"/>
      <protection locked="0"/>
    </xf>
    <xf numFmtId="0" fontId="1" fillId="2" borderId="61" xfId="0" applyFont="1" applyFill="1" applyBorder="1" applyAlignment="1">
      <alignment horizontal="center" vertical="top"/>
    </xf>
    <xf numFmtId="0" fontId="1" fillId="2" borderId="62" xfId="0" applyFont="1" applyFill="1" applyBorder="1" applyAlignment="1">
      <alignment horizontal="center" vertical="top"/>
    </xf>
    <xf numFmtId="0" fontId="1" fillId="2" borderId="63" xfId="0" applyFont="1" applyFill="1" applyBorder="1" applyAlignment="1">
      <alignment horizontal="center" vertical="top"/>
    </xf>
    <xf numFmtId="9" fontId="38" fillId="2" borderId="43" xfId="0" applyNumberFormat="1" applyFont="1" applyFill="1" applyBorder="1" applyAlignment="1">
      <alignment horizontal="center" vertical="center"/>
    </xf>
    <xf numFmtId="9" fontId="38" fillId="2" borderId="19" xfId="0" applyNumberFormat="1" applyFont="1" applyFill="1" applyBorder="1" applyAlignment="1">
      <alignment horizontal="center" vertical="center"/>
    </xf>
    <xf numFmtId="9" fontId="38" fillId="2" borderId="76" xfId="0" applyNumberFormat="1" applyFont="1" applyFill="1" applyBorder="1" applyAlignment="1">
      <alignment horizontal="center" vertical="center"/>
    </xf>
    <xf numFmtId="0" fontId="3" fillId="0" borderId="1" xfId="0" applyFont="1" applyBorder="1" applyAlignment="1">
      <alignment horizontal="center" vertical="center"/>
    </xf>
    <xf numFmtId="0" fontId="1" fillId="0" borderId="1"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0" fontId="39" fillId="2" borderId="0" xfId="0" applyFont="1" applyFill="1" applyAlignment="1">
      <alignment horizontal="left" vertical="top"/>
    </xf>
    <xf numFmtId="0" fontId="40" fillId="2" borderId="17" xfId="0" applyFont="1" applyFill="1" applyBorder="1" applyAlignment="1">
      <alignment vertical="top" wrapText="1"/>
    </xf>
    <xf numFmtId="0" fontId="39" fillId="2" borderId="18" xfId="0" applyFont="1" applyFill="1" applyBorder="1" applyAlignment="1">
      <alignment vertical="top" wrapText="1"/>
    </xf>
    <xf numFmtId="9" fontId="39" fillId="2" borderId="18" xfId="0" applyNumberFormat="1" applyFont="1" applyFill="1" applyBorder="1" applyAlignment="1">
      <alignment horizontal="left" vertical="top" wrapText="1"/>
    </xf>
    <xf numFmtId="0" fontId="39" fillId="2" borderId="18" xfId="0" applyFont="1" applyFill="1" applyBorder="1" applyAlignment="1">
      <alignment horizontal="left" vertical="top" wrapText="1"/>
    </xf>
    <xf numFmtId="0" fontId="39" fillId="2" borderId="0" xfId="0" applyFont="1" applyFill="1" applyAlignment="1">
      <alignment vertical="top" wrapText="1"/>
    </xf>
    <xf numFmtId="9" fontId="24" fillId="2" borderId="20" xfId="0" applyNumberFormat="1" applyFont="1" applyFill="1" applyBorder="1" applyAlignment="1" applyProtection="1">
      <alignment horizontal="center" vertical="center"/>
      <protection locked="0"/>
    </xf>
    <xf numFmtId="0" fontId="24" fillId="2" borderId="60" xfId="0" applyFont="1" applyFill="1" applyBorder="1" applyAlignment="1" applyProtection="1">
      <alignment horizontal="center" vertical="center"/>
      <protection locked="0"/>
    </xf>
    <xf numFmtId="0" fontId="24" fillId="2" borderId="21" xfId="0" applyFont="1" applyFill="1" applyBorder="1" applyAlignment="1" applyProtection="1">
      <alignment horizontal="center" vertical="center"/>
      <protection locked="0"/>
    </xf>
    <xf numFmtId="0" fontId="39" fillId="2" borderId="18" xfId="0" applyFont="1" applyFill="1" applyBorder="1" applyAlignment="1">
      <alignment vertical="top"/>
    </xf>
    <xf numFmtId="0" fontId="1" fillId="6" borderId="1" xfId="0" applyFont="1" applyFill="1" applyBorder="1" applyAlignment="1">
      <alignment horizontal="center" vertical="top"/>
    </xf>
    <xf numFmtId="0" fontId="3" fillId="6" borderId="1" xfId="0" applyFont="1" applyFill="1" applyBorder="1" applyAlignment="1" applyProtection="1">
      <alignment horizontal="center" vertical="center"/>
      <protection locked="0"/>
    </xf>
    <xf numFmtId="0" fontId="1" fillId="2" borderId="20" xfId="0" applyFont="1" applyFill="1" applyBorder="1" applyAlignment="1">
      <alignment horizontal="left" vertical="top" wrapText="1"/>
    </xf>
    <xf numFmtId="0" fontId="1" fillId="2" borderId="21" xfId="0" applyFont="1" applyFill="1" applyBorder="1" applyAlignment="1">
      <alignment horizontal="left" vertical="top" wrapText="1"/>
    </xf>
    <xf numFmtId="0" fontId="39" fillId="2" borderId="17" xfId="0" applyFont="1" applyFill="1" applyBorder="1" applyAlignment="1">
      <alignment horizontal="center" vertical="center"/>
    </xf>
    <xf numFmtId="0" fontId="39" fillId="2" borderId="28" xfId="0" applyFont="1" applyFill="1" applyBorder="1" applyAlignment="1">
      <alignment horizontal="center" vertical="center"/>
    </xf>
    <xf numFmtId="0" fontId="1" fillId="2" borderId="30" xfId="0" applyFont="1" applyFill="1" applyBorder="1" applyAlignment="1" applyProtection="1">
      <alignment horizontal="center" vertical="center" wrapText="1"/>
      <protection locked="0"/>
    </xf>
    <xf numFmtId="0" fontId="1" fillId="2" borderId="18" xfId="0" applyFont="1" applyFill="1" applyBorder="1" applyAlignment="1" applyProtection="1">
      <alignment horizontal="center" vertical="center" wrapText="1"/>
      <protection locked="0"/>
    </xf>
    <xf numFmtId="0" fontId="1" fillId="2" borderId="31" xfId="0" applyFont="1" applyFill="1" applyBorder="1" applyAlignment="1" applyProtection="1">
      <alignment horizontal="center" vertical="center" wrapText="1"/>
      <protection locked="0"/>
    </xf>
    <xf numFmtId="0" fontId="39" fillId="2" borderId="18" xfId="0" applyFont="1" applyFill="1" applyBorder="1" applyAlignment="1">
      <alignment horizontal="left" vertical="top"/>
    </xf>
    <xf numFmtId="0" fontId="1" fillId="21" borderId="10" xfId="0" applyFont="1" applyFill="1" applyBorder="1" applyAlignment="1">
      <alignment horizontal="center" vertical="top"/>
    </xf>
    <xf numFmtId="0" fontId="1" fillId="21" borderId="11" xfId="0" applyFont="1" applyFill="1" applyBorder="1" applyAlignment="1">
      <alignment horizontal="center" vertical="top"/>
    </xf>
    <xf numFmtId="0" fontId="39" fillId="18" borderId="24" xfId="0" applyFont="1" applyFill="1" applyBorder="1" applyAlignment="1">
      <alignment horizontal="center" vertical="center"/>
    </xf>
    <xf numFmtId="0" fontId="39" fillId="18" borderId="11" xfId="0" applyFont="1" applyFill="1" applyBorder="1" applyAlignment="1">
      <alignment horizontal="center" vertical="center"/>
    </xf>
    <xf numFmtId="0" fontId="39" fillId="2" borderId="18" xfId="0" applyFont="1" applyFill="1" applyBorder="1" applyAlignment="1">
      <alignment horizontal="left" vertical="center" wrapText="1"/>
    </xf>
    <xf numFmtId="0" fontId="39" fillId="18" borderId="10" xfId="0" applyFont="1" applyFill="1" applyBorder="1" applyAlignment="1">
      <alignment horizontal="center" vertical="center"/>
    </xf>
    <xf numFmtId="0" fontId="1" fillId="2" borderId="43" xfId="0" applyFont="1" applyFill="1" applyBorder="1" applyAlignment="1">
      <alignment horizontal="center" vertical="top"/>
    </xf>
    <xf numFmtId="0" fontId="1" fillId="2" borderId="76" xfId="0" applyFont="1" applyFill="1" applyBorder="1" applyAlignment="1">
      <alignment horizontal="center" vertical="top"/>
    </xf>
    <xf numFmtId="0" fontId="39" fillId="2" borderId="32" xfId="0" applyFont="1" applyFill="1" applyBorder="1" applyAlignment="1" applyProtection="1">
      <alignment horizontal="center" vertical="center" wrapText="1"/>
      <protection locked="0"/>
    </xf>
    <xf numFmtId="0" fontId="39" fillId="2" borderId="18" xfId="0" applyFont="1" applyFill="1" applyBorder="1" applyAlignment="1" applyProtection="1">
      <alignment horizontal="center" vertical="center" wrapText="1"/>
      <protection locked="0"/>
    </xf>
    <xf numFmtId="0" fontId="39" fillId="2" borderId="31" xfId="0" applyFont="1" applyFill="1" applyBorder="1" applyAlignment="1" applyProtection="1">
      <alignment horizontal="center" vertical="center" wrapText="1"/>
      <protection locked="0"/>
    </xf>
    <xf numFmtId="0" fontId="39" fillId="2" borderId="30" xfId="0" applyFont="1" applyFill="1" applyBorder="1" applyAlignment="1" applyProtection="1">
      <alignment horizontal="center" vertical="center" wrapText="1"/>
      <protection locked="0"/>
    </xf>
    <xf numFmtId="9" fontId="45" fillId="6" borderId="10" xfId="2" applyFont="1" applyFill="1" applyBorder="1" applyAlignment="1">
      <alignment horizontal="center" vertical="center"/>
    </xf>
    <xf numFmtId="9" fontId="45" fillId="6" borderId="24" xfId="2" applyFont="1" applyFill="1" applyBorder="1" applyAlignment="1">
      <alignment horizontal="center" vertical="center"/>
    </xf>
    <xf numFmtId="9" fontId="45" fillId="6" borderId="11" xfId="2" applyFont="1" applyFill="1" applyBorder="1" applyAlignment="1">
      <alignment horizontal="center" vertical="center"/>
    </xf>
    <xf numFmtId="0" fontId="39" fillId="2" borderId="30" xfId="0" applyFont="1" applyFill="1" applyBorder="1" applyAlignment="1" applyProtection="1">
      <alignment vertical="top" wrapText="1"/>
      <protection locked="0"/>
    </xf>
    <xf numFmtId="0" fontId="39" fillId="2" borderId="18" xfId="0" applyFont="1" applyFill="1" applyBorder="1" applyAlignment="1" applyProtection="1">
      <alignment vertical="top" wrapText="1"/>
      <protection locked="0"/>
    </xf>
    <xf numFmtId="0" fontId="39" fillId="2" borderId="31" xfId="0" applyFont="1" applyFill="1" applyBorder="1" applyAlignment="1" applyProtection="1">
      <alignment vertical="top" wrapText="1"/>
      <protection locked="0"/>
    </xf>
    <xf numFmtId="0" fontId="39" fillId="2" borderId="44" xfId="0" applyFont="1" applyFill="1" applyBorder="1" applyAlignment="1" applyProtection="1">
      <alignment vertical="center" wrapText="1"/>
      <protection locked="0"/>
    </xf>
    <xf numFmtId="0" fontId="39" fillId="2" borderId="17" xfId="0" applyFont="1" applyFill="1" applyBorder="1" applyAlignment="1" applyProtection="1">
      <alignment vertical="center" wrapText="1"/>
      <protection locked="0"/>
    </xf>
    <xf numFmtId="0" fontId="39" fillId="2" borderId="28" xfId="0" applyFont="1" applyFill="1" applyBorder="1" applyAlignment="1" applyProtection="1">
      <alignment vertical="center" wrapText="1"/>
      <protection locked="0"/>
    </xf>
    <xf numFmtId="0" fontId="39" fillId="2" borderId="34" xfId="0" applyFont="1" applyFill="1" applyBorder="1" applyAlignment="1" applyProtection="1">
      <alignment horizontal="center" vertical="center" wrapText="1"/>
      <protection locked="0"/>
    </xf>
    <xf numFmtId="0" fontId="39" fillId="2" borderId="19" xfId="0" applyFont="1" applyFill="1" applyBorder="1" applyAlignment="1" applyProtection="1">
      <alignment horizontal="center" vertical="center" wrapText="1"/>
      <protection locked="0"/>
    </xf>
    <xf numFmtId="0" fontId="39" fillId="2" borderId="35" xfId="0" applyFont="1" applyFill="1" applyBorder="1" applyAlignment="1" applyProtection="1">
      <alignment horizontal="center" vertical="center" wrapText="1"/>
      <protection locked="0"/>
    </xf>
    <xf numFmtId="0" fontId="39" fillId="2" borderId="32" xfId="0" applyFont="1" applyFill="1" applyBorder="1" applyAlignment="1" applyProtection="1">
      <alignment vertical="center" wrapText="1"/>
      <protection locked="0"/>
    </xf>
    <xf numFmtId="0" fontId="39" fillId="2" borderId="18" xfId="0" applyFont="1" applyFill="1" applyBorder="1" applyAlignment="1" applyProtection="1">
      <alignment vertical="center" wrapText="1"/>
      <protection locked="0"/>
    </xf>
    <xf numFmtId="0" fontId="39" fillId="2" borderId="31" xfId="0" applyFont="1" applyFill="1" applyBorder="1" applyAlignment="1" applyProtection="1">
      <alignment vertical="center" wrapText="1"/>
      <protection locked="0"/>
    </xf>
    <xf numFmtId="0" fontId="39" fillId="2" borderId="30" xfId="0" applyFont="1" applyFill="1" applyBorder="1" applyAlignment="1" applyProtection="1">
      <alignment vertical="center" wrapText="1"/>
      <protection locked="0"/>
    </xf>
    <xf numFmtId="0" fontId="39" fillId="2" borderId="27" xfId="0" applyFont="1" applyFill="1" applyBorder="1" applyAlignment="1" applyProtection="1">
      <alignment horizontal="center" vertical="center"/>
      <protection locked="0"/>
    </xf>
    <xf numFmtId="0" fontId="39" fillId="2" borderId="17" xfId="0" applyFont="1" applyFill="1" applyBorder="1" applyAlignment="1" applyProtection="1">
      <alignment horizontal="center" vertical="center"/>
      <protection locked="0"/>
    </xf>
    <xf numFmtId="0" fontId="39" fillId="2" borderId="28" xfId="0" applyFont="1" applyFill="1" applyBorder="1" applyAlignment="1" applyProtection="1">
      <alignment horizontal="center" vertical="center"/>
      <protection locked="0"/>
    </xf>
    <xf numFmtId="0" fontId="39" fillId="0" borderId="72" xfId="0" applyFont="1" applyBorder="1" applyAlignment="1" applyProtection="1">
      <alignment vertical="center" wrapText="1"/>
      <protection locked="0"/>
    </xf>
    <xf numFmtId="0" fontId="39" fillId="0" borderId="15" xfId="0" applyFont="1" applyBorder="1" applyAlignment="1" applyProtection="1">
      <alignment vertical="center" wrapText="1"/>
      <protection locked="0"/>
    </xf>
    <xf numFmtId="0" fontId="39" fillId="0" borderId="16" xfId="0" applyFont="1" applyBorder="1" applyAlignment="1" applyProtection="1">
      <alignment vertical="center" wrapText="1"/>
      <protection locked="0"/>
    </xf>
    <xf numFmtId="0" fontId="39" fillId="2" borderId="44" xfId="0" applyFont="1" applyFill="1" applyBorder="1" applyAlignment="1" applyProtection="1">
      <alignment vertical="top" wrapText="1"/>
      <protection locked="0"/>
    </xf>
    <xf numFmtId="0" fontId="39" fillId="2" borderId="17" xfId="0" applyFont="1" applyFill="1" applyBorder="1" applyAlignment="1" applyProtection="1">
      <alignment vertical="top" wrapText="1"/>
      <protection locked="0"/>
    </xf>
    <xf numFmtId="0" fontId="39" fillId="2" borderId="28" xfId="0" applyFont="1" applyFill="1" applyBorder="1" applyAlignment="1" applyProtection="1">
      <alignment vertical="top" wrapText="1"/>
      <protection locked="0"/>
    </xf>
    <xf numFmtId="0" fontId="39" fillId="2" borderId="30" xfId="0" applyFont="1" applyFill="1" applyBorder="1" applyAlignment="1" applyProtection="1">
      <alignment horizontal="center" vertical="top" wrapText="1"/>
      <protection locked="0"/>
    </xf>
    <xf numFmtId="0" fontId="39" fillId="2" borderId="18" xfId="0" applyFont="1" applyFill="1" applyBorder="1" applyAlignment="1" applyProtection="1">
      <alignment horizontal="center" vertical="top" wrapText="1"/>
      <protection locked="0"/>
    </xf>
    <xf numFmtId="0" fontId="39" fillId="2" borderId="31" xfId="0" applyFont="1" applyFill="1" applyBorder="1" applyAlignment="1" applyProtection="1">
      <alignment horizontal="center" vertical="top" wrapText="1"/>
      <protection locked="0"/>
    </xf>
    <xf numFmtId="0" fontId="39" fillId="2" borderId="72" xfId="0" applyFont="1" applyFill="1" applyBorder="1" applyAlignment="1">
      <alignment horizontal="center" vertical="top"/>
    </xf>
    <xf numFmtId="0" fontId="39" fillId="2" borderId="16" xfId="0" applyFont="1" applyFill="1" applyBorder="1" applyAlignment="1">
      <alignment horizontal="center" vertical="top"/>
    </xf>
    <xf numFmtId="0" fontId="39" fillId="2" borderId="30" xfId="0" applyFont="1" applyFill="1" applyBorder="1" applyAlignment="1" applyProtection="1">
      <alignment horizontal="center" vertical="center"/>
      <protection locked="0"/>
    </xf>
    <xf numFmtId="0" fontId="39" fillId="2" borderId="18" xfId="0" applyFont="1" applyFill="1" applyBorder="1" applyAlignment="1" applyProtection="1">
      <alignment horizontal="center" vertical="center"/>
      <protection locked="0"/>
    </xf>
    <xf numFmtId="0" fontId="39" fillId="2" borderId="31" xfId="0" applyFont="1" applyFill="1" applyBorder="1" applyAlignment="1" applyProtection="1">
      <alignment horizontal="center" vertical="center"/>
      <protection locked="0"/>
    </xf>
    <xf numFmtId="0" fontId="39" fillId="2" borderId="1" xfId="0" applyFont="1" applyFill="1" applyBorder="1" applyAlignment="1" applyProtection="1">
      <alignment vertical="top" wrapText="1"/>
      <protection locked="0"/>
    </xf>
    <xf numFmtId="0" fontId="39" fillId="2" borderId="1" xfId="0" applyFont="1" applyFill="1" applyBorder="1" applyAlignment="1" applyProtection="1">
      <alignment horizontal="center" vertical="center"/>
      <protection locked="0"/>
    </xf>
    <xf numFmtId="0" fontId="39" fillId="2" borderId="59" xfId="0" applyFont="1" applyFill="1" applyBorder="1" applyAlignment="1" applyProtection="1">
      <alignment vertical="top" wrapText="1"/>
      <protection locked="0"/>
    </xf>
    <xf numFmtId="0" fontId="39" fillId="2" borderId="60" xfId="0" applyFont="1" applyFill="1" applyBorder="1" applyAlignment="1" applyProtection="1">
      <alignment vertical="top" wrapText="1"/>
      <protection locked="0"/>
    </xf>
    <xf numFmtId="0" fontId="39" fillId="2" borderId="71" xfId="0" applyFont="1" applyFill="1" applyBorder="1" applyAlignment="1" applyProtection="1">
      <alignment vertical="top" wrapText="1"/>
      <protection locked="0"/>
    </xf>
    <xf numFmtId="0" fontId="39" fillId="2" borderId="27" xfId="0" applyFont="1" applyFill="1" applyBorder="1" applyAlignment="1" applyProtection="1">
      <alignment horizontal="center" wrapText="1"/>
      <protection locked="0"/>
    </xf>
    <xf numFmtId="0" fontId="39" fillId="2" borderId="17" xfId="0" applyFont="1" applyFill="1" applyBorder="1" applyAlignment="1" applyProtection="1">
      <alignment horizontal="center" wrapText="1"/>
      <protection locked="0"/>
    </xf>
    <xf numFmtId="0" fontId="39" fillId="2" borderId="28" xfId="0" applyFont="1" applyFill="1" applyBorder="1" applyAlignment="1" applyProtection="1">
      <alignment horizontal="center" wrapText="1"/>
      <protection locked="0"/>
    </xf>
    <xf numFmtId="0" fontId="39" fillId="18" borderId="10" xfId="0" applyFont="1" applyFill="1" applyBorder="1" applyAlignment="1">
      <alignment horizontal="center" vertical="top"/>
    </xf>
    <xf numFmtId="0" fontId="39" fillId="18" borderId="24" xfId="0" applyFont="1" applyFill="1" applyBorder="1" applyAlignment="1">
      <alignment horizontal="center" vertical="top"/>
    </xf>
    <xf numFmtId="0" fontId="39" fillId="18" borderId="11" xfId="0" applyFont="1" applyFill="1" applyBorder="1" applyAlignment="1">
      <alignment horizontal="center" vertical="top"/>
    </xf>
    <xf numFmtId="0" fontId="39" fillId="2" borderId="7" xfId="0" applyFont="1" applyFill="1" applyBorder="1" applyAlignment="1">
      <alignment horizontal="center" vertical="center"/>
    </xf>
    <xf numFmtId="0" fontId="39" fillId="2" borderId="9" xfId="0" applyFont="1" applyFill="1" applyBorder="1" applyAlignment="1">
      <alignment horizontal="center" vertical="center"/>
    </xf>
    <xf numFmtId="0" fontId="39" fillId="2" borderId="14" xfId="0" applyFont="1" applyFill="1" applyBorder="1" applyAlignment="1">
      <alignment horizontal="center" vertical="center"/>
    </xf>
    <xf numFmtId="0" fontId="39" fillId="2" borderId="16" xfId="0" applyFont="1" applyFill="1" applyBorder="1" applyAlignment="1">
      <alignment horizontal="center" vertical="center"/>
    </xf>
    <xf numFmtId="0" fontId="39" fillId="2" borderId="27" xfId="0" applyFont="1" applyFill="1" applyBorder="1" applyAlignment="1" applyProtection="1">
      <alignment horizontal="center" vertical="top" wrapText="1"/>
      <protection locked="0"/>
    </xf>
    <xf numFmtId="0" fontId="39" fillId="2" borderId="17" xfId="0" applyFont="1" applyFill="1" applyBorder="1" applyAlignment="1" applyProtection="1">
      <alignment horizontal="center" vertical="top" wrapText="1"/>
      <protection locked="0"/>
    </xf>
    <xf numFmtId="0" fontId="39" fillId="2" borderId="28" xfId="0" applyFont="1" applyFill="1" applyBorder="1" applyAlignment="1" applyProtection="1">
      <alignment horizontal="center" vertical="top" wrapText="1"/>
      <protection locked="0"/>
    </xf>
    <xf numFmtId="0" fontId="44" fillId="30" borderId="10" xfId="0" applyFont="1" applyFill="1" applyBorder="1" applyAlignment="1" applyProtection="1">
      <alignment horizontal="left" vertical="top"/>
      <protection locked="0"/>
    </xf>
    <xf numFmtId="0" fontId="44" fillId="30" borderId="24" xfId="0" applyFont="1" applyFill="1" applyBorder="1" applyAlignment="1" applyProtection="1">
      <alignment horizontal="left" vertical="top"/>
      <protection locked="0"/>
    </xf>
    <xf numFmtId="0" fontId="44" fillId="30" borderId="11" xfId="0" applyFont="1" applyFill="1" applyBorder="1" applyAlignment="1" applyProtection="1">
      <alignment horizontal="left" vertical="top"/>
      <protection locked="0"/>
    </xf>
    <xf numFmtId="0" fontId="39" fillId="2" borderId="20" xfId="0" applyFont="1" applyFill="1" applyBorder="1" applyAlignment="1">
      <alignment horizontal="center" vertical="top" wrapText="1"/>
    </xf>
    <xf numFmtId="0" fontId="39" fillId="2" borderId="21" xfId="0" applyFont="1" applyFill="1" applyBorder="1" applyAlignment="1">
      <alignment horizontal="center" vertical="top" wrapText="1"/>
    </xf>
    <xf numFmtId="0" fontId="46" fillId="2" borderId="20" xfId="0" applyFont="1" applyFill="1" applyBorder="1" applyAlignment="1">
      <alignment horizontal="left" vertical="top" wrapText="1"/>
    </xf>
    <xf numFmtId="0" fontId="46" fillId="2" borderId="60" xfId="0" applyFont="1" applyFill="1" applyBorder="1" applyAlignment="1">
      <alignment horizontal="left" vertical="top" wrapText="1"/>
    </xf>
    <xf numFmtId="0" fontId="47" fillId="2" borderId="1" xfId="0" applyFont="1" applyFill="1" applyBorder="1" applyAlignment="1">
      <alignment horizontal="center" vertical="top"/>
    </xf>
    <xf numFmtId="0" fontId="47" fillId="2" borderId="10" xfId="0" applyFont="1" applyFill="1" applyBorder="1" applyAlignment="1">
      <alignment horizontal="center" vertical="center"/>
    </xf>
    <xf numFmtId="0" fontId="47" fillId="2" borderId="24" xfId="0" applyFont="1" applyFill="1" applyBorder="1" applyAlignment="1">
      <alignment horizontal="center" vertical="center"/>
    </xf>
    <xf numFmtId="0" fontId="47" fillId="2" borderId="11" xfId="0" applyFont="1" applyFill="1" applyBorder="1" applyAlignment="1">
      <alignment horizontal="center" vertical="center"/>
    </xf>
    <xf numFmtId="0" fontId="46" fillId="2" borderId="7" xfId="0" applyFont="1" applyFill="1" applyBorder="1" applyAlignment="1" applyProtection="1">
      <alignment horizontal="center" vertical="center" wrapText="1"/>
      <protection locked="0"/>
    </xf>
    <xf numFmtId="0" fontId="46" fillId="2" borderId="8" xfId="0" applyFont="1" applyFill="1" applyBorder="1" applyAlignment="1" applyProtection="1">
      <alignment horizontal="center" vertical="center" wrapText="1"/>
      <protection locked="0"/>
    </xf>
    <xf numFmtId="0" fontId="46" fillId="2" borderId="9" xfId="0" applyFont="1" applyFill="1" applyBorder="1" applyAlignment="1" applyProtection="1">
      <alignment horizontal="center" vertical="center" wrapText="1"/>
      <protection locked="0"/>
    </xf>
    <xf numFmtId="0" fontId="46" fillId="2" borderId="12" xfId="0" applyFont="1" applyFill="1" applyBorder="1" applyAlignment="1" applyProtection="1">
      <alignment horizontal="center" vertical="center" wrapText="1"/>
      <protection locked="0"/>
    </xf>
    <xf numFmtId="0" fontId="46" fillId="2" borderId="0" xfId="0" applyFont="1" applyFill="1" applyAlignment="1" applyProtection="1">
      <alignment horizontal="center" vertical="center" wrapText="1"/>
      <protection locked="0"/>
    </xf>
    <xf numFmtId="0" fontId="46" fillId="2" borderId="13" xfId="0" applyFont="1" applyFill="1" applyBorder="1" applyAlignment="1" applyProtection="1">
      <alignment horizontal="center" vertical="center" wrapText="1"/>
      <protection locked="0"/>
    </xf>
    <xf numFmtId="0" fontId="46" fillId="2" borderId="14" xfId="0" applyFont="1" applyFill="1" applyBorder="1" applyAlignment="1" applyProtection="1">
      <alignment horizontal="center" vertical="center" wrapText="1"/>
      <protection locked="0"/>
    </xf>
    <xf numFmtId="0" fontId="46" fillId="2" borderId="15" xfId="0" applyFont="1" applyFill="1" applyBorder="1" applyAlignment="1" applyProtection="1">
      <alignment horizontal="center" vertical="center" wrapText="1"/>
      <protection locked="0"/>
    </xf>
    <xf numFmtId="0" fontId="46" fillId="2" borderId="16" xfId="0" applyFont="1" applyFill="1" applyBorder="1" applyAlignment="1" applyProtection="1">
      <alignment horizontal="center" vertical="center" wrapText="1"/>
      <protection locked="0"/>
    </xf>
    <xf numFmtId="0" fontId="46" fillId="2" borderId="18" xfId="0" applyFont="1" applyFill="1" applyBorder="1" applyAlignment="1">
      <alignment vertical="top" wrapText="1"/>
    </xf>
    <xf numFmtId="0" fontId="46" fillId="2" borderId="18" xfId="0" applyFont="1" applyFill="1" applyBorder="1" applyAlignment="1">
      <alignment vertical="top"/>
    </xf>
    <xf numFmtId="0" fontId="46" fillId="2" borderId="0" xfId="0" applyFont="1" applyFill="1" applyAlignment="1">
      <alignment horizontal="left" vertical="top"/>
    </xf>
    <xf numFmtId="0" fontId="46" fillId="0" borderId="10" xfId="0" applyFont="1" applyBorder="1" applyAlignment="1">
      <alignment horizontal="center" vertical="top"/>
    </xf>
    <xf numFmtId="0" fontId="46" fillId="0" borderId="11" xfId="0" applyFont="1" applyBorder="1" applyAlignment="1">
      <alignment horizontal="center" vertical="top"/>
    </xf>
    <xf numFmtId="0" fontId="47" fillId="0" borderId="10" xfId="0" applyFont="1" applyBorder="1" applyAlignment="1" applyProtection="1">
      <alignment horizontal="center" vertical="center"/>
      <protection locked="0"/>
    </xf>
    <xf numFmtId="0" fontId="47" fillId="0" borderId="24" xfId="0" applyFont="1" applyBorder="1" applyAlignment="1" applyProtection="1">
      <alignment horizontal="center" vertical="center"/>
      <protection locked="0"/>
    </xf>
    <xf numFmtId="0" fontId="47" fillId="0" borderId="11" xfId="0" applyFont="1" applyBorder="1" applyAlignment="1" applyProtection="1">
      <alignment horizontal="center" vertical="center"/>
      <protection locked="0"/>
    </xf>
    <xf numFmtId="0" fontId="47" fillId="2" borderId="17" xfId="0" applyFont="1" applyFill="1" applyBorder="1" applyAlignment="1">
      <alignment vertical="top" wrapText="1"/>
    </xf>
    <xf numFmtId="9" fontId="46" fillId="2" borderId="18" xfId="0" applyNumberFormat="1" applyFont="1" applyFill="1" applyBorder="1" applyAlignment="1">
      <alignment horizontal="left" vertical="top" wrapText="1"/>
    </xf>
    <xf numFmtId="0" fontId="46" fillId="2" borderId="18" xfId="0" applyFont="1" applyFill="1" applyBorder="1" applyAlignment="1">
      <alignment horizontal="left" vertical="top" wrapText="1"/>
    </xf>
    <xf numFmtId="0" fontId="46" fillId="2" borderId="0" xfId="0" applyFont="1" applyFill="1" applyAlignment="1">
      <alignment vertical="top" wrapText="1"/>
    </xf>
    <xf numFmtId="0" fontId="7" fillId="2" borderId="7" xfId="0" applyFont="1" applyFill="1" applyBorder="1" applyAlignment="1">
      <alignment horizontal="center" vertical="center" wrapText="1"/>
    </xf>
    <xf numFmtId="0" fontId="7" fillId="2" borderId="8" xfId="0" applyFont="1" applyFill="1" applyBorder="1" applyAlignment="1">
      <alignment horizontal="center" vertical="center" wrapText="1"/>
    </xf>
    <xf numFmtId="0" fontId="7" fillId="2" borderId="9" xfId="0" applyFont="1" applyFill="1" applyBorder="1" applyAlignment="1">
      <alignment horizontal="center" vertical="center" wrapText="1"/>
    </xf>
    <xf numFmtId="0" fontId="7" fillId="2" borderId="12" xfId="0" applyFont="1" applyFill="1" applyBorder="1" applyAlignment="1">
      <alignment horizontal="center" vertical="center" wrapText="1"/>
    </xf>
    <xf numFmtId="0" fontId="7" fillId="2" borderId="0" xfId="0" applyFont="1" applyFill="1" applyAlignment="1">
      <alignment horizontal="center" vertical="center" wrapText="1"/>
    </xf>
    <xf numFmtId="0" fontId="7" fillId="2" borderId="13"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7" fillId="2" borderId="15" xfId="0" applyFont="1" applyFill="1" applyBorder="1" applyAlignment="1">
      <alignment horizontal="center" vertical="center" wrapText="1"/>
    </xf>
    <xf numFmtId="0" fontId="7" fillId="2" borderId="16" xfId="0" applyFont="1" applyFill="1" applyBorder="1" applyAlignment="1">
      <alignment horizontal="center" vertical="center" wrapText="1"/>
    </xf>
    <xf numFmtId="0" fontId="3" fillId="6" borderId="10" xfId="0" applyFont="1" applyFill="1" applyBorder="1" applyAlignment="1" applyProtection="1">
      <alignment horizontal="center" vertical="center"/>
      <protection locked="0"/>
    </xf>
    <xf numFmtId="0" fontId="3" fillId="6" borderId="24" xfId="0" applyFont="1" applyFill="1" applyBorder="1" applyAlignment="1" applyProtection="1">
      <alignment horizontal="center" vertical="center"/>
      <protection locked="0"/>
    </xf>
    <xf numFmtId="0" fontId="3" fillId="6" borderId="11" xfId="0" applyFont="1" applyFill="1" applyBorder="1" applyAlignment="1" applyProtection="1">
      <alignment horizontal="center" vertical="center"/>
      <protection locked="0"/>
    </xf>
    <xf numFmtId="0" fontId="3" fillId="18" borderId="1" xfId="0" applyFont="1" applyFill="1" applyBorder="1" applyAlignment="1">
      <alignment horizontal="center" vertical="center"/>
    </xf>
    <xf numFmtId="9" fontId="1" fillId="2" borderId="59" xfId="2" applyFont="1" applyFill="1" applyBorder="1" applyAlignment="1" applyProtection="1">
      <alignment horizontal="center" vertical="center"/>
      <protection locked="0"/>
    </xf>
    <xf numFmtId="9" fontId="1" fillId="2" borderId="60" xfId="2" applyFont="1" applyFill="1" applyBorder="1" applyAlignment="1" applyProtection="1">
      <alignment horizontal="center" vertical="center"/>
      <protection locked="0"/>
    </xf>
    <xf numFmtId="9" fontId="1" fillId="2" borderId="21" xfId="2" applyFont="1" applyFill="1" applyBorder="1" applyAlignment="1" applyProtection="1">
      <alignment horizontal="center" vertical="center"/>
      <protection locked="0"/>
    </xf>
    <xf numFmtId="9" fontId="3" fillId="2" borderId="59" xfId="2" applyFont="1" applyFill="1" applyBorder="1" applyAlignment="1" applyProtection="1">
      <alignment horizontal="center" vertical="center"/>
      <protection locked="0"/>
    </xf>
    <xf numFmtId="9" fontId="3" fillId="2" borderId="60" xfId="2" applyFont="1" applyFill="1" applyBorder="1" applyAlignment="1" applyProtection="1">
      <alignment horizontal="center" vertical="center"/>
      <protection locked="0"/>
    </xf>
    <xf numFmtId="9" fontId="3" fillId="2" borderId="21" xfId="2" applyFont="1" applyFill="1" applyBorder="1" applyAlignment="1" applyProtection="1">
      <alignment horizontal="center" vertical="center"/>
      <protection locked="0"/>
    </xf>
    <xf numFmtId="0" fontId="30" fillId="27" borderId="10" xfId="0" applyFont="1" applyFill="1" applyBorder="1" applyAlignment="1" applyProtection="1">
      <alignment horizontal="left" vertical="top"/>
      <protection locked="0"/>
    </xf>
    <xf numFmtId="0" fontId="1" fillId="27" borderId="24" xfId="0" applyFont="1" applyFill="1" applyBorder="1" applyAlignment="1" applyProtection="1">
      <alignment horizontal="left" vertical="top"/>
      <protection locked="0"/>
    </xf>
    <xf numFmtId="0" fontId="1" fillId="27" borderId="11" xfId="0" applyFont="1" applyFill="1" applyBorder="1" applyAlignment="1" applyProtection="1">
      <alignment horizontal="left" vertical="top"/>
      <protection locked="0"/>
    </xf>
    <xf numFmtId="0" fontId="3" fillId="18" borderId="10" xfId="0" applyFont="1" applyFill="1" applyBorder="1" applyAlignment="1">
      <alignment horizontal="center" vertical="top"/>
    </xf>
    <xf numFmtId="0" fontId="3" fillId="18" borderId="24" xfId="0" applyFont="1" applyFill="1" applyBorder="1" applyAlignment="1">
      <alignment horizontal="center" vertical="top"/>
    </xf>
    <xf numFmtId="0" fontId="3" fillId="18" borderId="11" xfId="0" applyFont="1" applyFill="1" applyBorder="1" applyAlignment="1">
      <alignment horizontal="center" vertical="top"/>
    </xf>
    <xf numFmtId="0" fontId="1" fillId="2" borderId="44" xfId="0" applyFont="1" applyFill="1" applyBorder="1" applyAlignment="1" applyProtection="1">
      <alignment horizontal="center" vertical="center" wrapText="1"/>
      <protection locked="0"/>
    </xf>
    <xf numFmtId="0" fontId="1" fillId="2" borderId="59" xfId="0" applyFont="1" applyFill="1" applyBorder="1" applyAlignment="1" applyProtection="1">
      <alignment horizontal="center" vertical="center" wrapText="1"/>
      <protection locked="0"/>
    </xf>
    <xf numFmtId="0" fontId="1" fillId="2" borderId="60" xfId="0" applyFont="1" applyFill="1" applyBorder="1" applyAlignment="1" applyProtection="1">
      <alignment horizontal="center" vertical="center" wrapText="1"/>
      <protection locked="0"/>
    </xf>
    <xf numFmtId="0" fontId="1" fillId="2" borderId="71" xfId="0" applyFont="1" applyFill="1" applyBorder="1" applyAlignment="1" applyProtection="1">
      <alignment horizontal="center" vertical="center" wrapText="1"/>
      <protection locked="0"/>
    </xf>
    <xf numFmtId="0" fontId="46" fillId="2" borderId="10" xfId="0" applyFont="1" applyFill="1" applyBorder="1" applyAlignment="1" applyProtection="1">
      <alignment horizontal="center" vertical="center" wrapText="1"/>
      <protection locked="0"/>
    </xf>
    <xf numFmtId="0" fontId="46" fillId="2" borderId="24" xfId="0" applyFont="1" applyFill="1" applyBorder="1" applyAlignment="1" applyProtection="1">
      <alignment horizontal="center" vertical="center" wrapText="1"/>
      <protection locked="0"/>
    </xf>
    <xf numFmtId="0" fontId="46" fillId="2" borderId="11" xfId="0" applyFont="1" applyFill="1" applyBorder="1" applyAlignment="1" applyProtection="1">
      <alignment horizontal="center" vertical="center" wrapText="1"/>
      <protection locked="0"/>
    </xf>
    <xf numFmtId="0" fontId="46" fillId="2" borderId="10" xfId="0" applyFont="1" applyFill="1" applyBorder="1" applyAlignment="1" applyProtection="1">
      <alignment horizontal="center" vertical="center"/>
      <protection locked="0"/>
    </xf>
    <xf numFmtId="0" fontId="46" fillId="2" borderId="24" xfId="0" applyFont="1" applyFill="1" applyBorder="1" applyAlignment="1" applyProtection="1">
      <alignment horizontal="center" vertical="center"/>
      <protection locked="0"/>
    </xf>
    <xf numFmtId="0" fontId="46" fillId="2" borderId="11" xfId="0" applyFont="1" applyFill="1" applyBorder="1" applyAlignment="1" applyProtection="1">
      <alignment horizontal="center" vertical="center"/>
      <protection locked="0"/>
    </xf>
    <xf numFmtId="9" fontId="46" fillId="2" borderId="1" xfId="2" applyFont="1" applyFill="1" applyBorder="1" applyAlignment="1" applyProtection="1">
      <alignment horizontal="center" vertical="center" wrapText="1"/>
      <protection locked="0"/>
    </xf>
    <xf numFmtId="9" fontId="43" fillId="18" borderId="10" xfId="0" applyNumberFormat="1" applyFont="1" applyFill="1" applyBorder="1" applyAlignment="1">
      <alignment horizontal="center" vertical="center"/>
    </xf>
    <xf numFmtId="17" fontId="43" fillId="18" borderId="24" xfId="0" applyNumberFormat="1" applyFont="1" applyFill="1" applyBorder="1" applyAlignment="1">
      <alignment horizontal="center" vertical="center"/>
    </xf>
    <xf numFmtId="17" fontId="43" fillId="18" borderId="11" xfId="0" applyNumberFormat="1" applyFont="1" applyFill="1" applyBorder="1" applyAlignment="1">
      <alignment horizontal="center" vertical="center"/>
    </xf>
    <xf numFmtId="0" fontId="44" fillId="2" borderId="18" xfId="0" applyFont="1" applyFill="1" applyBorder="1" applyAlignment="1">
      <alignment horizontal="left" vertical="top"/>
    </xf>
    <xf numFmtId="0" fontId="39" fillId="20" borderId="10" xfId="0" applyFont="1" applyFill="1" applyBorder="1" applyAlignment="1" applyProtection="1">
      <alignment horizontal="left" vertical="top" wrapText="1"/>
      <protection locked="0"/>
    </xf>
    <xf numFmtId="0" fontId="39" fillId="20" borderId="24" xfId="0" applyFont="1" applyFill="1" applyBorder="1" applyAlignment="1" applyProtection="1">
      <alignment horizontal="left" vertical="top"/>
      <protection locked="0"/>
    </xf>
    <xf numFmtId="0" fontId="39" fillId="2" borderId="43" xfId="0" applyFont="1" applyFill="1" applyBorder="1" applyAlignment="1">
      <alignment horizontal="center" vertical="center" wrapText="1"/>
    </xf>
    <xf numFmtId="0" fontId="39" fillId="2" borderId="76" xfId="0" applyFont="1" applyFill="1" applyBorder="1" applyAlignment="1">
      <alignment horizontal="center" vertical="center" wrapText="1"/>
    </xf>
    <xf numFmtId="0" fontId="39" fillId="13" borderId="0" xfId="0" applyFont="1" applyFill="1" applyAlignment="1">
      <alignment horizontal="center" vertical="top"/>
    </xf>
    <xf numFmtId="0" fontId="39" fillId="13" borderId="13" xfId="0" applyFont="1" applyFill="1" applyBorder="1" applyAlignment="1">
      <alignment horizontal="center" vertical="top"/>
    </xf>
    <xf numFmtId="0" fontId="39" fillId="2" borderId="15" xfId="0" applyFont="1" applyFill="1" applyBorder="1" applyAlignment="1">
      <alignment horizontal="center"/>
    </xf>
    <xf numFmtId="0" fontId="39" fillId="2" borderId="16" xfId="0" applyFont="1" applyFill="1" applyBorder="1" applyAlignment="1">
      <alignment horizontal="center"/>
    </xf>
    <xf numFmtId="0" fontId="39" fillId="2" borderId="20" xfId="0" applyFont="1" applyFill="1" applyBorder="1" applyAlignment="1">
      <alignment horizontal="center" vertical="center" wrapText="1"/>
    </xf>
    <xf numFmtId="0" fontId="39" fillId="2" borderId="21" xfId="0" applyFont="1" applyFill="1" applyBorder="1" applyAlignment="1">
      <alignment horizontal="center" vertical="center" wrapText="1"/>
    </xf>
    <xf numFmtId="9" fontId="44" fillId="2" borderId="18" xfId="0" applyNumberFormat="1" applyFont="1" applyFill="1" applyBorder="1" applyAlignment="1">
      <alignment horizontal="left" vertical="top" wrapText="1"/>
    </xf>
    <xf numFmtId="0" fontId="44" fillId="2" borderId="18" xfId="0" applyFont="1" applyFill="1" applyBorder="1" applyAlignment="1">
      <alignment horizontal="left" vertical="top" wrapText="1"/>
    </xf>
    <xf numFmtId="0" fontId="39" fillId="2" borderId="70" xfId="0" applyFont="1" applyFill="1" applyBorder="1" applyAlignment="1">
      <alignment vertical="top" wrapText="1"/>
    </xf>
    <xf numFmtId="0" fontId="1" fillId="2" borderId="32" xfId="0" applyFont="1" applyFill="1" applyBorder="1" applyAlignment="1">
      <alignment horizontal="center" vertical="top"/>
    </xf>
    <xf numFmtId="0" fontId="1" fillId="2" borderId="74" xfId="0" applyFont="1" applyFill="1" applyBorder="1" applyAlignment="1">
      <alignment horizontal="center" vertical="top"/>
    </xf>
    <xf numFmtId="0" fontId="32" fillId="17" borderId="10" xfId="0" applyFont="1" applyFill="1" applyBorder="1" applyAlignment="1" applyProtection="1">
      <alignment horizontal="left" vertical="top"/>
      <protection locked="0"/>
    </xf>
    <xf numFmtId="0" fontId="1" fillId="17" borderId="24" xfId="0" applyFont="1" applyFill="1" applyBorder="1" applyAlignment="1" applyProtection="1">
      <alignment horizontal="left" vertical="top"/>
      <protection locked="0"/>
    </xf>
    <xf numFmtId="0" fontId="1" fillId="17" borderId="11" xfId="0" applyFont="1" applyFill="1" applyBorder="1" applyAlignment="1" applyProtection="1">
      <alignment horizontal="left" vertical="top"/>
      <protection locked="0"/>
    </xf>
    <xf numFmtId="0" fontId="39" fillId="2" borderId="0" xfId="0" applyFont="1" applyFill="1" applyAlignment="1">
      <alignment horizontal="left" vertical="top" wrapText="1"/>
    </xf>
    <xf numFmtId="0" fontId="39" fillId="2" borderId="17" xfId="0" applyFont="1" applyFill="1" applyBorder="1" applyAlignment="1">
      <alignment vertical="top"/>
    </xf>
    <xf numFmtId="0" fontId="1" fillId="13" borderId="0" xfId="0" applyFont="1" applyFill="1" applyAlignment="1">
      <alignment horizontal="center" vertical="top"/>
    </xf>
    <xf numFmtId="0" fontId="1" fillId="13" borderId="13" xfId="0" applyFont="1" applyFill="1" applyBorder="1" applyAlignment="1">
      <alignment horizontal="center" vertical="top"/>
    </xf>
    <xf numFmtId="0" fontId="1" fillId="2" borderId="15" xfId="0" applyFont="1" applyFill="1" applyBorder="1" applyAlignment="1">
      <alignment horizontal="center"/>
    </xf>
    <xf numFmtId="0" fontId="1" fillId="2" borderId="16" xfId="0" applyFont="1" applyFill="1" applyBorder="1" applyAlignment="1">
      <alignment horizontal="center"/>
    </xf>
    <xf numFmtId="0" fontId="1" fillId="2" borderId="32" xfId="0" applyFont="1" applyFill="1" applyBorder="1" applyAlignment="1">
      <alignment horizontal="center" vertical="top" wrapText="1"/>
    </xf>
    <xf numFmtId="0" fontId="1" fillId="2" borderId="74" xfId="0" applyFont="1" applyFill="1" applyBorder="1" applyAlignment="1">
      <alignment horizontal="center" vertical="top" wrapText="1"/>
    </xf>
    <xf numFmtId="0" fontId="1" fillId="2" borderId="27" xfId="0" applyFont="1" applyFill="1" applyBorder="1" applyAlignment="1" applyProtection="1">
      <alignment horizontal="center" vertical="center"/>
      <protection locked="0"/>
    </xf>
    <xf numFmtId="0" fontId="1" fillId="2" borderId="17" xfId="0" applyFont="1" applyFill="1" applyBorder="1" applyAlignment="1" applyProtection="1">
      <alignment horizontal="center" vertical="center"/>
      <protection locked="0"/>
    </xf>
    <xf numFmtId="0" fontId="1" fillId="2" borderId="28" xfId="0" applyFont="1" applyFill="1" applyBorder="1" applyAlignment="1" applyProtection="1">
      <alignment horizontal="center" vertical="center"/>
      <protection locked="0"/>
    </xf>
    <xf numFmtId="0" fontId="44" fillId="2" borderId="18" xfId="0" applyFont="1" applyFill="1" applyBorder="1" applyAlignment="1">
      <alignment vertical="top" wrapText="1"/>
    </xf>
    <xf numFmtId="0" fontId="39" fillId="13" borderId="10" xfId="0" applyFont="1" applyFill="1" applyBorder="1" applyAlignment="1">
      <alignment horizontal="center" vertical="top"/>
    </xf>
    <xf numFmtId="0" fontId="39" fillId="13" borderId="11" xfId="0" applyFont="1" applyFill="1" applyBorder="1" applyAlignment="1">
      <alignment horizontal="center" vertical="top"/>
    </xf>
    <xf numFmtId="0" fontId="39" fillId="2" borderId="20" xfId="0" applyFont="1" applyFill="1" applyBorder="1" applyAlignment="1">
      <alignment horizontal="left" vertical="top" wrapText="1"/>
    </xf>
    <xf numFmtId="0" fontId="39" fillId="2" borderId="21" xfId="0" applyFont="1" applyFill="1" applyBorder="1" applyAlignment="1">
      <alignment horizontal="left" vertical="top" wrapText="1"/>
    </xf>
    <xf numFmtId="0" fontId="40" fillId="12" borderId="1" xfId="0" applyFont="1" applyFill="1" applyBorder="1" applyAlignment="1">
      <alignment horizontal="center" vertical="center" wrapText="1"/>
    </xf>
    <xf numFmtId="0" fontId="40" fillId="12" borderId="10" xfId="0" applyFont="1" applyFill="1" applyBorder="1" applyAlignment="1">
      <alignment horizontal="left" vertical="top" wrapText="1"/>
    </xf>
    <xf numFmtId="0" fontId="40" fillId="12" borderId="11" xfId="0" applyFont="1" applyFill="1" applyBorder="1" applyAlignment="1">
      <alignment horizontal="left" vertical="top" wrapText="1"/>
    </xf>
    <xf numFmtId="0" fontId="39" fillId="2" borderId="10" xfId="0" applyFont="1" applyFill="1" applyBorder="1" applyAlignment="1">
      <alignment horizontal="left" vertical="top" wrapText="1"/>
    </xf>
    <xf numFmtId="0" fontId="39" fillId="2" borderId="11" xfId="0" applyFont="1" applyFill="1" applyBorder="1" applyAlignment="1">
      <alignment horizontal="left" vertical="top" wrapText="1"/>
    </xf>
    <xf numFmtId="0" fontId="40" fillId="2" borderId="10" xfId="0" applyFont="1" applyFill="1" applyBorder="1" applyAlignment="1">
      <alignment horizontal="left" vertical="top" wrapText="1"/>
    </xf>
    <xf numFmtId="0" fontId="40" fillId="2" borderId="11" xfId="0" applyFont="1" applyFill="1" applyBorder="1" applyAlignment="1">
      <alignment horizontal="left" vertical="top" wrapText="1"/>
    </xf>
    <xf numFmtId="0" fontId="4" fillId="2" borderId="18" xfId="0" applyFont="1" applyFill="1" applyBorder="1" applyAlignment="1">
      <alignment vertical="top" wrapText="1"/>
    </xf>
    <xf numFmtId="0" fontId="1" fillId="2" borderId="43" xfId="0" applyFont="1" applyFill="1" applyBorder="1" applyAlignment="1">
      <alignment horizontal="center" vertical="center"/>
    </xf>
    <xf numFmtId="0" fontId="1" fillId="2" borderId="76" xfId="0" applyFont="1" applyFill="1" applyBorder="1" applyAlignment="1">
      <alignment horizontal="center" vertical="center"/>
    </xf>
    <xf numFmtId="0" fontId="1" fillId="2" borderId="20" xfId="0" applyFont="1" applyFill="1" applyBorder="1" applyAlignment="1">
      <alignment horizontal="center" vertical="center" wrapText="1"/>
    </xf>
    <xf numFmtId="0" fontId="1" fillId="2" borderId="21" xfId="0" applyFont="1" applyFill="1" applyBorder="1" applyAlignment="1">
      <alignment horizontal="center" vertical="center" wrapText="1"/>
    </xf>
    <xf numFmtId="0" fontId="30" fillId="17" borderId="10" xfId="0" applyFont="1" applyFill="1" applyBorder="1" applyAlignment="1" applyProtection="1">
      <alignment horizontal="left" vertical="top"/>
      <protection locked="0"/>
    </xf>
    <xf numFmtId="0" fontId="30" fillId="17" borderId="24" xfId="0" applyFont="1" applyFill="1" applyBorder="1" applyAlignment="1" applyProtection="1">
      <alignment horizontal="left" vertical="top"/>
      <protection locked="0"/>
    </xf>
    <xf numFmtId="0" fontId="30" fillId="17" borderId="11" xfId="0" applyFont="1" applyFill="1" applyBorder="1" applyAlignment="1" applyProtection="1">
      <alignment horizontal="left" vertical="top"/>
      <protection locked="0"/>
    </xf>
    <xf numFmtId="0" fontId="1" fillId="18" borderId="10" xfId="0" applyFont="1" applyFill="1" applyBorder="1" applyAlignment="1">
      <alignment horizontal="center" vertical="center"/>
    </xf>
    <xf numFmtId="0" fontId="1" fillId="18" borderId="11" xfId="0" applyFont="1" applyFill="1" applyBorder="1" applyAlignment="1">
      <alignment horizontal="center" vertical="center"/>
    </xf>
    <xf numFmtId="0" fontId="50" fillId="17" borderId="10" xfId="0" applyFont="1" applyFill="1" applyBorder="1" applyAlignment="1" applyProtection="1">
      <alignment horizontal="left" vertical="top"/>
      <protection locked="0"/>
    </xf>
    <xf numFmtId="0" fontId="41" fillId="17" borderId="24" xfId="0" applyFont="1" applyFill="1" applyBorder="1" applyAlignment="1" applyProtection="1">
      <alignment horizontal="left" vertical="top"/>
      <protection locked="0"/>
    </xf>
    <xf numFmtId="0" fontId="41" fillId="17" borderId="11" xfId="0" applyFont="1" applyFill="1" applyBorder="1" applyAlignment="1" applyProtection="1">
      <alignment horizontal="left" vertical="top"/>
      <protection locked="0"/>
    </xf>
    <xf numFmtId="0" fontId="39" fillId="2" borderId="18" xfId="0" applyFont="1" applyFill="1" applyBorder="1" applyAlignment="1">
      <alignment vertical="center" wrapText="1"/>
    </xf>
    <xf numFmtId="0" fontId="39" fillId="2" borderId="32" xfId="0" applyFont="1" applyFill="1" applyBorder="1" applyAlignment="1">
      <alignment horizontal="left" vertical="top"/>
    </xf>
    <xf numFmtId="0" fontId="39" fillId="2" borderId="74" xfId="0" applyFont="1" applyFill="1" applyBorder="1" applyAlignment="1">
      <alignment horizontal="left" vertical="top"/>
    </xf>
    <xf numFmtId="0" fontId="41" fillId="18" borderId="10" xfId="0" applyFont="1" applyFill="1" applyBorder="1" applyAlignment="1">
      <alignment horizontal="center" vertical="top"/>
    </xf>
    <xf numFmtId="0" fontId="41" fillId="18" borderId="11" xfId="0" applyFont="1" applyFill="1" applyBorder="1" applyAlignment="1">
      <alignment horizontal="center" vertical="top"/>
    </xf>
    <xf numFmtId="0" fontId="41" fillId="2" borderId="15" xfId="0" applyFont="1" applyFill="1" applyBorder="1" applyAlignment="1">
      <alignment horizontal="center"/>
    </xf>
    <xf numFmtId="0" fontId="41" fillId="2" borderId="16" xfId="0" applyFont="1" applyFill="1" applyBorder="1" applyAlignment="1">
      <alignment horizontal="center"/>
    </xf>
    <xf numFmtId="0" fontId="41" fillId="2" borderId="10" xfId="0" applyFont="1" applyFill="1" applyBorder="1" applyAlignment="1">
      <alignment horizontal="center" vertical="top"/>
    </xf>
    <xf numFmtId="0" fontId="41" fillId="2" borderId="24" xfId="0" applyFont="1" applyFill="1" applyBorder="1" applyAlignment="1">
      <alignment horizontal="center" vertical="top"/>
    </xf>
    <xf numFmtId="0" fontId="41" fillId="2" borderId="11" xfId="0" applyFont="1" applyFill="1" applyBorder="1" applyAlignment="1">
      <alignment horizontal="center" vertical="top"/>
    </xf>
    <xf numFmtId="0" fontId="41" fillId="2" borderId="10" xfId="0" applyFont="1" applyFill="1" applyBorder="1" applyAlignment="1">
      <alignment horizontal="center"/>
    </xf>
    <xf numFmtId="0" fontId="41" fillId="2" borderId="24" xfId="0" applyFont="1" applyFill="1" applyBorder="1" applyAlignment="1">
      <alignment horizontal="center"/>
    </xf>
    <xf numFmtId="0" fontId="41" fillId="2" borderId="11" xfId="0" applyFont="1" applyFill="1" applyBorder="1" applyAlignment="1">
      <alignment horizontal="center"/>
    </xf>
  </cellXfs>
  <cellStyles count="81">
    <cellStyle name="Hipervínculo" xfId="5" builtinId="8"/>
    <cellStyle name="Millares" xfId="4" builtinId="3"/>
    <cellStyle name="Millares [0]" xfId="1" builtinId="6"/>
    <cellStyle name="Millares [0] 2" xfId="3" xr:uid="{00000000-0005-0000-0000-000003000000}"/>
    <cellStyle name="Millares [0] 2 2" xfId="8" xr:uid="{3FDAAF91-291A-483D-9DBC-BFCBAF1565DF}"/>
    <cellStyle name="Millares [0] 2 2 2" xfId="16" xr:uid="{09C37B65-1BAF-45C1-B23B-9E63C64B47C5}"/>
    <cellStyle name="Millares [0] 2 2 2 2" xfId="35" xr:uid="{EB511975-1572-4CD0-8856-B0B12D113AE6}"/>
    <cellStyle name="Millares [0] 2 2 2 2 2" xfId="74" xr:uid="{F388EBFD-3B2A-4510-A96C-88D72C67A6C6}"/>
    <cellStyle name="Millares [0] 2 2 2 3" xfId="57" xr:uid="{2FDF8E9C-99D9-4807-B882-571F5B3DB854}"/>
    <cellStyle name="Millares [0] 2 2 3" xfId="28" xr:uid="{414EC91E-739C-4D43-BF15-82D34CF0CD39}"/>
    <cellStyle name="Millares [0] 2 2 3 2" xfId="67" xr:uid="{BA0A90D9-C28F-45F6-A90F-F8B77DFB3004}"/>
    <cellStyle name="Millares [0] 2 2 4" xfId="50" xr:uid="{226668D7-708F-46C9-860E-BA896528ED22}"/>
    <cellStyle name="Millares [0] 2 3" xfId="12" xr:uid="{4844326A-E6DF-4A56-A56F-6F59D5942B27}"/>
    <cellStyle name="Millares [0] 2 3 2" xfId="32" xr:uid="{30040ED1-5BC6-4943-9D79-E67F03A80D0D}"/>
    <cellStyle name="Millares [0] 2 3 2 2" xfId="71" xr:uid="{98A62877-5019-40CB-A142-9B08D10A44FA}"/>
    <cellStyle name="Millares [0] 2 3 3" xfId="54" xr:uid="{AC6E1A91-3FC6-4D9C-AD1B-076B05074797}"/>
    <cellStyle name="Millares [0] 2 4" xfId="23" xr:uid="{C6828255-8F03-49D3-A6A6-CADB2E05FD2F}"/>
    <cellStyle name="Millares [0] 2 4 2" xfId="63" xr:uid="{2F8B1165-02EC-4B55-A637-B3B1E5A4AA1F}"/>
    <cellStyle name="Millares [0] 2 5" xfId="46" xr:uid="{4C5AD71C-7BD9-4F5B-BB79-870CAB67AAC1}"/>
    <cellStyle name="Millares [0] 3" xfId="7" xr:uid="{30496FD9-37CC-40A9-AA57-7E110B5BB695}"/>
    <cellStyle name="Millares [0] 3 2" xfId="15" xr:uid="{53A5189D-2DE0-4A5A-B20F-0FA159FC3977}"/>
    <cellStyle name="Millares [0] 3 2 2" xfId="34" xr:uid="{D4FFEC3B-BDF8-48FD-BB84-2A06DAC209A2}"/>
    <cellStyle name="Millares [0] 3 2 2 2" xfId="73" xr:uid="{8BF113C8-5766-4789-84E0-07FEBB142EF3}"/>
    <cellStyle name="Millares [0] 3 2 3" xfId="56" xr:uid="{D7566E1A-74FB-466E-B75E-7C6551771AE5}"/>
    <cellStyle name="Millares [0] 3 3" xfId="27" xr:uid="{4C3EADAB-D102-4F8B-A451-DCC4F691DCDA}"/>
    <cellStyle name="Millares [0] 3 3 2" xfId="66" xr:uid="{6AFF98DB-945D-4AD0-A566-4251640FA16B}"/>
    <cellStyle name="Millares [0] 3 4" xfId="49" xr:uid="{71E37331-5638-43BF-B366-F9D046ADE09C}"/>
    <cellStyle name="Millares [0] 4" xfId="11" xr:uid="{BEC8C912-F74B-43AB-9F5B-FCCF731F88E7}"/>
    <cellStyle name="Millares [0] 4 2" xfId="31" xr:uid="{231E4AA4-9832-4251-AE99-1202700A3CAD}"/>
    <cellStyle name="Millares [0] 4 2 2" xfId="70" xr:uid="{148CC8DD-DCC5-4E84-9CBD-DF31A6779BAF}"/>
    <cellStyle name="Millares [0] 4 3" xfId="53" xr:uid="{D8FC553B-BC24-442C-A33F-7A2BE810FC10}"/>
    <cellStyle name="Millares [0] 5" xfId="22" xr:uid="{AD214549-4DBF-4443-9BF9-5AD8C342496C}"/>
    <cellStyle name="Millares [0] 5 2" xfId="62" xr:uid="{7F06ACD8-A73A-4A18-B2E0-E66DBC4C6D04}"/>
    <cellStyle name="Millares [0] 6" xfId="45" xr:uid="{B8BA066B-2D6A-47BC-910A-119453FAB6FE}"/>
    <cellStyle name="Millares 2" xfId="9" xr:uid="{DD9D6BD9-7431-476B-B5A4-536308A4E4A0}"/>
    <cellStyle name="Millares 2 2" xfId="17" xr:uid="{AC1A2E55-E417-4A2E-AF83-FF788F720E9B}"/>
    <cellStyle name="Millares 2 2 2" xfId="36" xr:uid="{1547EA97-9508-49F6-8622-BD3B4ECCDA04}"/>
    <cellStyle name="Millares 2 2 2 2" xfId="75" xr:uid="{9CA6BE4E-F623-4BC1-B9A6-2645F649A94E}"/>
    <cellStyle name="Millares 2 2 3" xfId="58" xr:uid="{0A1018FC-9A6A-4A2D-B27A-13A4975E1F05}"/>
    <cellStyle name="Millares 2 3" xfId="29" xr:uid="{A66C42B7-D796-4D89-875E-E19E1DE8911B}"/>
    <cellStyle name="Millares 2 3 2" xfId="68" xr:uid="{7C008091-D254-472E-8413-6C4F25C94FC1}"/>
    <cellStyle name="Millares 2 4" xfId="51" xr:uid="{714B5406-FF63-46DC-85AB-959E4E2AF65C}"/>
    <cellStyle name="Millares 3" xfId="10" xr:uid="{BEFA68ED-D733-44F1-AFCC-72F492107AA0}"/>
    <cellStyle name="Millares 3 2" xfId="18" xr:uid="{097F5C86-1C9D-41B4-9EB7-CAB048BDEFBB}"/>
    <cellStyle name="Millares 3 2 2" xfId="37" xr:uid="{29C91C13-67C4-4127-8F0B-62F1C995E4F7}"/>
    <cellStyle name="Millares 3 2 2 2" xfId="76" xr:uid="{DEA55946-2E96-468F-B1CA-A418E5D05F65}"/>
    <cellStyle name="Millares 3 2 3" xfId="59" xr:uid="{6920CB84-F2DC-49CB-9505-83DCC27F3E5C}"/>
    <cellStyle name="Millares 3 3" xfId="30" xr:uid="{BD92A824-0E40-425B-8C3E-BC29C3A7BD0B}"/>
    <cellStyle name="Millares 3 3 2" xfId="69" xr:uid="{5389A722-874B-4BF0-AFE6-9C69517883A4}"/>
    <cellStyle name="Millares 3 4" xfId="52" xr:uid="{43DE6FAD-39C7-422F-B4F8-E2E32BA85EB5}"/>
    <cellStyle name="Millares 4" xfId="13" xr:uid="{074F58CC-1795-49D8-970D-8A2CAFF09197}"/>
    <cellStyle name="Millares 4 2" xfId="33" xr:uid="{89AB1B75-7318-4598-991A-B571A01EC7CE}"/>
    <cellStyle name="Millares 4 2 2" xfId="72" xr:uid="{A174CED9-FDAF-40BB-A756-82520BCE8BEE}"/>
    <cellStyle name="Millares 4 3" xfId="55" xr:uid="{81371A38-B282-42F2-8380-99694656F56E}"/>
    <cellStyle name="Millares 5" xfId="19" xr:uid="{5F6D1452-BA51-496B-A00E-AC163707208A}"/>
    <cellStyle name="Millares 5 2" xfId="38" xr:uid="{39A81C8C-30E8-401A-9113-C8F576031B74}"/>
    <cellStyle name="Millares 5 2 2" xfId="77" xr:uid="{2B607C1C-C44D-490D-9A95-51F158A06E2C}"/>
    <cellStyle name="Millares 5 3" xfId="60" xr:uid="{03B39C6D-A86D-4C10-9631-B8720A297922}"/>
    <cellStyle name="Millares 6" xfId="24" xr:uid="{67790520-352F-4E44-B246-1BAB6B57EE41}"/>
    <cellStyle name="Millares 6 2" xfId="64" xr:uid="{CDE326E7-42AC-4A4B-86D7-9C3D97931F3B}"/>
    <cellStyle name="Millares 7" xfId="47" xr:uid="{0B18F11B-ADDF-4813-B942-4BF06DD0E65A}"/>
    <cellStyle name="Millares 8" xfId="79" xr:uid="{FD17B3DB-6D5B-44A7-8464-4F7AAC9AE9C0}"/>
    <cellStyle name="Millares 9" xfId="80" xr:uid="{2518FB3C-8960-4280-B9B6-2075477128DE}"/>
    <cellStyle name="Moneda [0]" xfId="21" builtinId="7"/>
    <cellStyle name="Moneda [0] 2" xfId="6" xr:uid="{00000000-0005-0000-0000-000004000000}"/>
    <cellStyle name="Moneda [0] 2 2" xfId="25" xr:uid="{7E69ED31-2674-4656-9B86-1E3BB1406CE4}"/>
    <cellStyle name="Moneda [0] 2 2 2" xfId="65" xr:uid="{FF77A704-EA84-4ED0-A6AC-351ED866152C}"/>
    <cellStyle name="Moneda [0] 2 3" xfId="48" xr:uid="{0D1D4A13-3B22-487D-9DAF-7FDC8F159EC9}"/>
    <cellStyle name="Moneda [0] 3" xfId="40" xr:uid="{711D2B93-DF94-48F7-A664-E1DFDEAAEDF5}"/>
    <cellStyle name="Moneda [0] 3 2" xfId="78" xr:uid="{AD826D85-149E-44E6-B2AC-EAAE93C334B3}"/>
    <cellStyle name="Moneda [0] 4" xfId="61" xr:uid="{C013AA95-1432-456A-9066-FA06AD8E2CD9}"/>
    <cellStyle name="Moneda 2" xfId="14" xr:uid="{C6ACBBB2-D3B5-4EA5-A3BE-32006D2A1555}"/>
    <cellStyle name="Moneda 3" xfId="20" xr:uid="{65AB0DC2-39E8-4104-AD7E-82A6E17A32EB}"/>
    <cellStyle name="Moneda 4" xfId="26" xr:uid="{4BC3B8C8-5497-483E-95FB-F9863E1F4F57}"/>
    <cellStyle name="Moneda 5" xfId="41" xr:uid="{A81ED1E4-B2DD-4154-AC78-C85B224F370E}"/>
    <cellStyle name="Moneda 6" xfId="42" xr:uid="{FC72DE00-6900-4BDA-8099-8914415F367A}"/>
    <cellStyle name="Moneda 7" xfId="43" xr:uid="{E3E04FDC-EE82-400A-84AC-AE54A3BB3893}"/>
    <cellStyle name="Moneda 8" xfId="44" xr:uid="{5A27B9CA-AA0F-4F42-8084-757223E3D213}"/>
    <cellStyle name="Normal" xfId="0" builtinId="0"/>
    <cellStyle name="Normal 2" xfId="39" xr:uid="{61E5DCE0-1319-475B-9F47-D86440E6412F}"/>
    <cellStyle name="Porcentaje" xfId="2" builtinId="5"/>
  </cellStyles>
  <dxfs count="0"/>
  <tableStyles count="0" defaultTableStyle="TableStyleMedium2" defaultPivotStyle="PivotStyleLight16"/>
  <colors>
    <mruColors>
      <color rgb="FF8DD9EB"/>
      <color rgb="FFFFFFCC"/>
      <color rgb="FF9AE9FC"/>
      <color rgb="FFFFCCCC"/>
      <color rgb="FFFFCC66"/>
      <color rgb="FFCCFF33"/>
      <color rgb="FFCCFFCC"/>
      <color rgb="FFFF66CC"/>
      <color rgb="FFDDDDD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 Id="rId8" Type="http://schemas.openxmlformats.org/officeDocument/2006/relationships/worksheet" Target="worksheets/sheet8.xml"/><Relationship Id="rId3" Type="http://schemas.openxmlformats.org/officeDocument/2006/relationships/worksheet" Target="worksheets/sheet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29.xml.rels><?xml version="1.0" encoding="UTF-8" standalone="yes"?>
<Relationships xmlns="http://schemas.openxmlformats.org/package/2006/relationships"><Relationship Id="rId2" Type="http://schemas.microsoft.com/office/2011/relationships/chartColorStyle" Target="colors29.xml"/><Relationship Id="rId1" Type="http://schemas.microsoft.com/office/2011/relationships/chartStyle" Target="style29.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30.xml.rels><?xml version="1.0" encoding="UTF-8" standalone="yes"?>
<Relationships xmlns="http://schemas.openxmlformats.org/package/2006/relationships"><Relationship Id="rId2" Type="http://schemas.microsoft.com/office/2011/relationships/chartColorStyle" Target="colors30.xml"/><Relationship Id="rId1" Type="http://schemas.microsoft.com/office/2011/relationships/chartStyle" Target="style30.xml"/></Relationships>
</file>

<file path=xl/charts/_rels/chart31.xml.rels><?xml version="1.0" encoding="UTF-8" standalone="yes"?>
<Relationships xmlns="http://schemas.openxmlformats.org/package/2006/relationships"><Relationship Id="rId2" Type="http://schemas.microsoft.com/office/2011/relationships/chartColorStyle" Target="colors31.xml"/><Relationship Id="rId1" Type="http://schemas.microsoft.com/office/2011/relationships/chartStyle" Target="style31.xml"/></Relationships>
</file>

<file path=xl/charts/_rels/chart32.xml.rels><?xml version="1.0" encoding="UTF-8" standalone="yes"?>
<Relationships xmlns="http://schemas.openxmlformats.org/package/2006/relationships"><Relationship Id="rId2" Type="http://schemas.microsoft.com/office/2011/relationships/chartColorStyle" Target="colors32.xml"/><Relationship Id="rId1" Type="http://schemas.microsoft.com/office/2011/relationships/chartStyle" Target="style32.xml"/></Relationships>
</file>

<file path=xl/charts/_rels/chart33.xml.rels><?xml version="1.0" encoding="UTF-8" standalone="yes"?>
<Relationships xmlns="http://schemas.openxmlformats.org/package/2006/relationships"><Relationship Id="rId2" Type="http://schemas.microsoft.com/office/2011/relationships/chartColorStyle" Target="colors33.xml"/><Relationship Id="rId1" Type="http://schemas.microsoft.com/office/2011/relationships/chartStyle" Target="style33.xml"/></Relationships>
</file>

<file path=xl/charts/_rels/chart34.xml.rels><?xml version="1.0" encoding="UTF-8" standalone="yes"?>
<Relationships xmlns="http://schemas.openxmlformats.org/package/2006/relationships"><Relationship Id="rId2" Type="http://schemas.microsoft.com/office/2011/relationships/chartColorStyle" Target="colors34.xml"/><Relationship Id="rId1" Type="http://schemas.microsoft.com/office/2011/relationships/chartStyle" Target="style34.xml"/></Relationships>
</file>

<file path=xl/charts/_rels/chart35.xml.rels><?xml version="1.0" encoding="UTF-8" standalone="yes"?>
<Relationships xmlns="http://schemas.openxmlformats.org/package/2006/relationships"><Relationship Id="rId2" Type="http://schemas.microsoft.com/office/2011/relationships/chartColorStyle" Target="colors35.xml"/><Relationship Id="rId1" Type="http://schemas.microsoft.com/office/2011/relationships/chartStyle" Target="style35.xml"/></Relationships>
</file>

<file path=xl/charts/_rels/chart36.xml.rels><?xml version="1.0" encoding="UTF-8" standalone="yes"?>
<Relationships xmlns="http://schemas.openxmlformats.org/package/2006/relationships"><Relationship Id="rId2" Type="http://schemas.microsoft.com/office/2011/relationships/chartColorStyle" Target="colors36.xml"/><Relationship Id="rId1" Type="http://schemas.microsoft.com/office/2011/relationships/chartStyle" Target="style36.xml"/></Relationships>
</file>

<file path=xl/charts/_rels/chart37.xml.rels><?xml version="1.0" encoding="UTF-8" standalone="yes"?>
<Relationships xmlns="http://schemas.openxmlformats.org/package/2006/relationships"><Relationship Id="rId2" Type="http://schemas.microsoft.com/office/2011/relationships/chartColorStyle" Target="colors37.xml"/><Relationship Id="rId1" Type="http://schemas.microsoft.com/office/2011/relationships/chartStyle" Target="style37.xml"/></Relationships>
</file>

<file path=xl/charts/_rels/chart38.xml.rels><?xml version="1.0" encoding="UTF-8" standalone="yes"?>
<Relationships xmlns="http://schemas.openxmlformats.org/package/2006/relationships"><Relationship Id="rId2" Type="http://schemas.microsoft.com/office/2011/relationships/chartColorStyle" Target="colors38.xml"/><Relationship Id="rId1" Type="http://schemas.microsoft.com/office/2011/relationships/chartStyle" Target="style38.xml"/></Relationships>
</file>

<file path=xl/charts/_rels/chart39.xml.rels><?xml version="1.0" encoding="UTF-8" standalone="yes"?>
<Relationships xmlns="http://schemas.openxmlformats.org/package/2006/relationships"><Relationship Id="rId2" Type="http://schemas.microsoft.com/office/2011/relationships/chartColorStyle" Target="colors39.xml"/><Relationship Id="rId1" Type="http://schemas.microsoft.com/office/2011/relationships/chartStyle" Target="style39.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0.xml.rels><?xml version="1.0" encoding="UTF-8" standalone="yes"?>
<Relationships xmlns="http://schemas.openxmlformats.org/package/2006/relationships"><Relationship Id="rId2" Type="http://schemas.microsoft.com/office/2011/relationships/chartColorStyle" Target="colors40.xml"/><Relationship Id="rId1" Type="http://schemas.microsoft.com/office/2011/relationships/chartStyle" Target="style40.xml"/></Relationships>
</file>

<file path=xl/charts/_rels/chart41.xml.rels><?xml version="1.0" encoding="UTF-8" standalone="yes"?>
<Relationships xmlns="http://schemas.openxmlformats.org/package/2006/relationships"><Relationship Id="rId2" Type="http://schemas.microsoft.com/office/2011/relationships/chartColorStyle" Target="colors41.xml"/><Relationship Id="rId1" Type="http://schemas.microsoft.com/office/2011/relationships/chartStyle" Target="style41.xml"/></Relationships>
</file>

<file path=xl/charts/_rels/chart42.xml.rels><?xml version="1.0" encoding="UTF-8" standalone="yes"?>
<Relationships xmlns="http://schemas.openxmlformats.org/package/2006/relationships"><Relationship Id="rId2" Type="http://schemas.microsoft.com/office/2011/relationships/chartColorStyle" Target="colors42.xml"/><Relationship Id="rId1" Type="http://schemas.microsoft.com/office/2011/relationships/chartStyle" Target="style42.xml"/></Relationships>
</file>

<file path=xl/charts/_rels/chart43.xml.rels><?xml version="1.0" encoding="UTF-8" standalone="yes"?>
<Relationships xmlns="http://schemas.openxmlformats.org/package/2006/relationships"><Relationship Id="rId2" Type="http://schemas.microsoft.com/office/2011/relationships/chartColorStyle" Target="colors43.xml"/><Relationship Id="rId1" Type="http://schemas.microsoft.com/office/2011/relationships/chartStyle" Target="style43.xml"/></Relationships>
</file>

<file path=xl/charts/_rels/chart44.xml.rels><?xml version="1.0" encoding="UTF-8" standalone="yes"?>
<Relationships xmlns="http://schemas.openxmlformats.org/package/2006/relationships"><Relationship Id="rId2" Type="http://schemas.microsoft.com/office/2011/relationships/chartColorStyle" Target="colors44.xml"/><Relationship Id="rId1" Type="http://schemas.microsoft.com/office/2011/relationships/chartStyle" Target="style44.xml"/></Relationships>
</file>

<file path=xl/charts/_rels/chart45.xml.rels><?xml version="1.0" encoding="UTF-8" standalone="yes"?>
<Relationships xmlns="http://schemas.openxmlformats.org/package/2006/relationships"><Relationship Id="rId2" Type="http://schemas.microsoft.com/office/2011/relationships/chartColorStyle" Target="colors45.xml"/><Relationship Id="rId1" Type="http://schemas.microsoft.com/office/2011/relationships/chartStyle" Target="style45.xml"/></Relationships>
</file>

<file path=xl/charts/_rels/chart46.xml.rels><?xml version="1.0" encoding="UTF-8" standalone="yes"?>
<Relationships xmlns="http://schemas.openxmlformats.org/package/2006/relationships"><Relationship Id="rId2" Type="http://schemas.microsoft.com/office/2011/relationships/chartColorStyle" Target="colors46.xml"/><Relationship Id="rId1" Type="http://schemas.microsoft.com/office/2011/relationships/chartStyle" Target="style46.xml"/></Relationships>
</file>

<file path=xl/charts/_rels/chart47.xml.rels><?xml version="1.0" encoding="UTF-8" standalone="yes"?>
<Relationships xmlns="http://schemas.openxmlformats.org/package/2006/relationships"><Relationship Id="rId2" Type="http://schemas.microsoft.com/office/2011/relationships/chartColorStyle" Target="colors47.xml"/><Relationship Id="rId1" Type="http://schemas.microsoft.com/office/2011/relationships/chartStyle" Target="style47.xml"/></Relationships>
</file>

<file path=xl/charts/_rels/chart49.xml.rels><?xml version="1.0" encoding="UTF-8" standalone="yes"?>
<Relationships xmlns="http://schemas.openxmlformats.org/package/2006/relationships"><Relationship Id="rId2" Type="http://schemas.microsoft.com/office/2011/relationships/chartColorStyle" Target="colors48.xml"/><Relationship Id="rId1" Type="http://schemas.microsoft.com/office/2011/relationships/chartStyle" Target="style48.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0.xml.rels><?xml version="1.0" encoding="UTF-8" standalone="yes"?>
<Relationships xmlns="http://schemas.openxmlformats.org/package/2006/relationships"><Relationship Id="rId2" Type="http://schemas.microsoft.com/office/2011/relationships/chartColorStyle" Target="colors49.xml"/><Relationship Id="rId1" Type="http://schemas.microsoft.com/office/2011/relationships/chartStyle" Target="style49.xml"/></Relationships>
</file>

<file path=xl/charts/_rels/chart52.xml.rels><?xml version="1.0" encoding="UTF-8" standalone="yes"?>
<Relationships xmlns="http://schemas.openxmlformats.org/package/2006/relationships"><Relationship Id="rId2" Type="http://schemas.microsoft.com/office/2011/relationships/chartColorStyle" Target="colors50.xml"/><Relationship Id="rId1" Type="http://schemas.microsoft.com/office/2011/relationships/chartStyle" Target="style50.xml"/></Relationships>
</file>

<file path=xl/charts/_rels/chart53.xml.rels><?xml version="1.0" encoding="UTF-8" standalone="yes"?>
<Relationships xmlns="http://schemas.openxmlformats.org/package/2006/relationships"><Relationship Id="rId2" Type="http://schemas.microsoft.com/office/2011/relationships/chartColorStyle" Target="colors51.xml"/><Relationship Id="rId1" Type="http://schemas.microsoft.com/office/2011/relationships/chartStyle" Target="style51.xml"/></Relationships>
</file>

<file path=xl/charts/_rels/chart54.xml.rels><?xml version="1.0" encoding="UTF-8" standalone="yes"?>
<Relationships xmlns="http://schemas.openxmlformats.org/package/2006/relationships"><Relationship Id="rId2" Type="http://schemas.microsoft.com/office/2011/relationships/chartColorStyle" Target="colors52.xml"/><Relationship Id="rId1" Type="http://schemas.microsoft.com/office/2011/relationships/chartStyle" Target="style52.xml"/></Relationships>
</file>

<file path=xl/charts/_rels/chart56.xml.rels><?xml version="1.0" encoding="UTF-8" standalone="yes"?>
<Relationships xmlns="http://schemas.openxmlformats.org/package/2006/relationships"><Relationship Id="rId2" Type="http://schemas.microsoft.com/office/2011/relationships/chartColorStyle" Target="colors53.xml"/><Relationship Id="rId1" Type="http://schemas.microsoft.com/office/2011/relationships/chartStyle" Target="style53.xml"/></Relationships>
</file>

<file path=xl/charts/_rels/chart57.xml.rels><?xml version="1.0" encoding="UTF-8" standalone="yes"?>
<Relationships xmlns="http://schemas.openxmlformats.org/package/2006/relationships"><Relationship Id="rId2" Type="http://schemas.microsoft.com/office/2011/relationships/chartColorStyle" Target="colors54.xml"/><Relationship Id="rId1" Type="http://schemas.microsoft.com/office/2011/relationships/chartStyle" Target="style54.xml"/></Relationships>
</file>

<file path=xl/charts/_rels/chart58.xml.rels><?xml version="1.0" encoding="UTF-8" standalone="yes"?>
<Relationships xmlns="http://schemas.openxmlformats.org/package/2006/relationships"><Relationship Id="rId2" Type="http://schemas.microsoft.com/office/2011/relationships/chartColorStyle" Target="colors55.xml"/><Relationship Id="rId1" Type="http://schemas.microsoft.com/office/2011/relationships/chartStyle" Target="style55.xml"/></Relationships>
</file>

<file path=xl/charts/_rels/chart59.xml.rels><?xml version="1.0" encoding="UTF-8" standalone="yes"?>
<Relationships xmlns="http://schemas.openxmlformats.org/package/2006/relationships"><Relationship Id="rId2" Type="http://schemas.microsoft.com/office/2011/relationships/chartColorStyle" Target="colors56.xml"/><Relationship Id="rId1" Type="http://schemas.microsoft.com/office/2011/relationships/chartStyle" Target="style56.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60.xml.rels><?xml version="1.0" encoding="UTF-8" standalone="yes"?>
<Relationships xmlns="http://schemas.openxmlformats.org/package/2006/relationships"><Relationship Id="rId2" Type="http://schemas.microsoft.com/office/2011/relationships/chartColorStyle" Target="colors57.xml"/><Relationship Id="rId1" Type="http://schemas.microsoft.com/office/2011/relationships/chartStyle" Target="style57.xml"/></Relationships>
</file>

<file path=xl/charts/_rels/chart61.xml.rels><?xml version="1.0" encoding="UTF-8" standalone="yes"?>
<Relationships xmlns="http://schemas.openxmlformats.org/package/2006/relationships"><Relationship Id="rId2" Type="http://schemas.microsoft.com/office/2011/relationships/chartColorStyle" Target="colors58.xml"/><Relationship Id="rId1" Type="http://schemas.microsoft.com/office/2011/relationships/chartStyle" Target="style58.xml"/></Relationships>
</file>

<file path=xl/charts/_rels/chart62.xml.rels><?xml version="1.0" encoding="UTF-8" standalone="yes"?>
<Relationships xmlns="http://schemas.openxmlformats.org/package/2006/relationships"><Relationship Id="rId2" Type="http://schemas.microsoft.com/office/2011/relationships/chartColorStyle" Target="colors59.xml"/><Relationship Id="rId1" Type="http://schemas.microsoft.com/office/2011/relationships/chartStyle" Target="style59.xml"/></Relationships>
</file>

<file path=xl/charts/_rels/chart63.xml.rels><?xml version="1.0" encoding="UTF-8" standalone="yes"?>
<Relationships xmlns="http://schemas.openxmlformats.org/package/2006/relationships"><Relationship Id="rId2" Type="http://schemas.microsoft.com/office/2011/relationships/chartColorStyle" Target="colors60.xml"/><Relationship Id="rId1" Type="http://schemas.microsoft.com/office/2011/relationships/chartStyle" Target="style60.xml"/></Relationships>
</file>

<file path=xl/charts/_rels/chart64.xml.rels><?xml version="1.0" encoding="UTF-8" standalone="yes"?>
<Relationships xmlns="http://schemas.openxmlformats.org/package/2006/relationships"><Relationship Id="rId2" Type="http://schemas.microsoft.com/office/2011/relationships/chartColorStyle" Target="colors61.xml"/><Relationship Id="rId1" Type="http://schemas.microsoft.com/office/2011/relationships/chartStyle" Target="style61.xml"/></Relationships>
</file>

<file path=xl/charts/_rels/chart65.xml.rels><?xml version="1.0" encoding="UTF-8" standalone="yes"?>
<Relationships xmlns="http://schemas.openxmlformats.org/package/2006/relationships"><Relationship Id="rId2" Type="http://schemas.microsoft.com/office/2011/relationships/chartColorStyle" Target="colors62.xml"/><Relationship Id="rId1" Type="http://schemas.microsoft.com/office/2011/relationships/chartStyle" Target="style62.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EFICACIA!$B$4:$K$4</c:f>
              <c:numCache>
                <c:formatCode>0.0%</c:formatCode>
                <c:ptCount val="10"/>
                <c:pt idx="0">
                  <c:v>0.94743388501742154</c:v>
                </c:pt>
                <c:pt idx="1">
                  <c:v>0.94644926704128995</c:v>
                </c:pt>
                <c:pt idx="2">
                  <c:v>0.9499324119980167</c:v>
                </c:pt>
                <c:pt idx="3">
                  <c:v>0.95448046687076304</c:v>
                </c:pt>
                <c:pt idx="4">
                  <c:v>0.94982290664100089</c:v>
                </c:pt>
                <c:pt idx="5">
                  <c:v>0.95345707512764399</c:v>
                </c:pt>
                <c:pt idx="6">
                  <c:v>0.95679713114754095</c:v>
                </c:pt>
              </c:numCache>
            </c:numRef>
          </c:yVal>
          <c:smooth val="0"/>
          <c:extLst>
            <c:ext xmlns:c16="http://schemas.microsoft.com/office/drawing/2014/chart" uri="{C3380CC4-5D6E-409C-BE32-E72D297353CC}">
              <c16:uniqueId val="{00000000-ADA8-451A-ADC5-C8B82CB6B46B}"/>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1" i="0" u="none" strike="noStrike" kern="1200" cap="none" spc="0" normalizeH="0" baseline="0">
                <a:solidFill>
                  <a:schemeClr val="tx1">
                    <a:lumMod val="65000"/>
                    <a:lumOff val="35000"/>
                  </a:schemeClr>
                </a:solidFill>
                <a:latin typeface="+mj-lt"/>
                <a:ea typeface="+mj-ea"/>
                <a:cs typeface="+mj-cs"/>
              </a:defRPr>
            </a:pPr>
            <a:r>
              <a:rPr lang="es-CO" b="1"/>
              <a:t>Presión</a:t>
            </a:r>
          </a:p>
        </c:rich>
      </c:tx>
      <c:overlay val="0"/>
      <c:spPr>
        <a:noFill/>
        <a:ln>
          <a:noFill/>
        </a:ln>
        <a:effectLst/>
      </c:spPr>
      <c:txPr>
        <a:bodyPr rot="0" spcFirstLastPara="1" vertOverflow="ellipsis" vert="horz" wrap="square" anchor="ctr" anchorCtr="1"/>
        <a:lstStyle/>
        <a:p>
          <a:pPr>
            <a:defRPr sz="2000" b="1" i="0" u="none" strike="noStrike" kern="1200" cap="none" spc="0" normalizeH="0" baseline="0">
              <a:solidFill>
                <a:schemeClr val="tx1">
                  <a:lumMod val="65000"/>
                  <a:lumOff val="35000"/>
                </a:schemeClr>
              </a:solidFill>
              <a:latin typeface="+mj-lt"/>
              <a:ea typeface="+mj-ea"/>
              <a:cs typeface="+mj-cs"/>
            </a:defRPr>
          </a:pPr>
          <a:endParaRPr lang="es-CO"/>
        </a:p>
      </c:txPr>
    </c:title>
    <c:autoTitleDeleted val="0"/>
    <c:plotArea>
      <c:layout/>
      <c:lineChart>
        <c:grouping val="standard"/>
        <c:varyColors val="0"/>
        <c:ser>
          <c:idx val="0"/>
          <c:order val="0"/>
          <c:tx>
            <c:strRef>
              <c:f>Presion!$A$20</c:f>
              <c:strCache>
                <c:ptCount val="1"/>
                <c:pt idx="0">
                  <c:v>CALCULO DEL INDICADOR (introducir en la fórmula los valores completos, no directamente el resultado)</c:v>
                </c:pt>
              </c:strCache>
            </c:strRef>
          </c:tx>
          <c:spPr>
            <a:ln w="38100" cap="rnd">
              <a:solidFill>
                <a:schemeClr val="accent1"/>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Presion!$C$18:$N$18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Presion!$C$20:$N$20</c:f>
              <c:numCache>
                <c:formatCode>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2149-42B0-98D7-D7BE54EE0D39}"/>
            </c:ext>
          </c:extLst>
        </c:ser>
        <c:ser>
          <c:idx val="1"/>
          <c:order val="1"/>
          <c:tx>
            <c:strRef>
              <c:f>Presion!$A$21</c:f>
              <c:strCache>
                <c:ptCount val="1"/>
                <c:pt idx="0">
                  <c:v>CUMPLIMIENTO DE LA META= (diligenciar fórmula)</c:v>
                </c:pt>
              </c:strCache>
            </c:strRef>
          </c:tx>
          <c:spPr>
            <a:ln w="38100"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Presion!$C$18:$N$18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Presion!$C$21:$N$21</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2149-42B0-98D7-D7BE54EE0D39}"/>
            </c:ext>
          </c:extLst>
        </c:ser>
        <c:dLbls>
          <c:dLblPos val="ctr"/>
          <c:showLegendKey val="0"/>
          <c:showVal val="1"/>
          <c:showCatName val="0"/>
          <c:showSerName val="0"/>
          <c:showPercent val="0"/>
          <c:showBubbleSize val="0"/>
        </c:dLbls>
        <c:smooth val="0"/>
        <c:axId val="1020162320"/>
        <c:axId val="1026381936"/>
      </c:lineChart>
      <c:catAx>
        <c:axId val="1020162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1026381936"/>
        <c:crosses val="autoZero"/>
        <c:auto val="1"/>
        <c:lblAlgn val="ctr"/>
        <c:lblOffset val="100"/>
        <c:noMultiLvlLbl val="0"/>
      </c:catAx>
      <c:valAx>
        <c:axId val="1026381936"/>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201623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IANC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Agua!$A$20</c:f>
              <c:strCache>
                <c:ptCount val="1"/>
                <c:pt idx="0">
                  <c:v>CALCULO DEL INDICADOR (introducir en la fórmula los valores completos, no directamente el resultado)</c:v>
                </c:pt>
              </c:strCache>
            </c:strRef>
          </c:tx>
          <c:spPr>
            <a:ln w="28575" cap="rnd">
              <a:solidFill>
                <a:schemeClr val="accent1"/>
              </a:solidFill>
              <a:round/>
            </a:ln>
            <a:effectLst/>
          </c:spPr>
          <c:marker>
            <c:symbol val="none"/>
          </c:marker>
          <c:cat>
            <c:strRef>
              <c:f>Agua!$C$18:$N$18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Agua!$C$20:$N$20</c:f>
              <c:numCache>
                <c:formatCode>0.00%</c:formatCode>
                <c:ptCount val="12"/>
                <c:pt idx="0">
                  <c:v>0.88543554006968639</c:v>
                </c:pt>
                <c:pt idx="1">
                  <c:v>0.88399706816515999</c:v>
                </c:pt>
                <c:pt idx="2">
                  <c:v>0.89062964799206745</c:v>
                </c:pt>
                <c:pt idx="3">
                  <c:v>0.90002186748305268</c:v>
                </c:pt>
                <c:pt idx="4">
                  <c:v>0.89829162656400385</c:v>
                </c:pt>
                <c:pt idx="5">
                  <c:v>0.89722830051057623</c:v>
                </c:pt>
                <c:pt idx="6">
                  <c:v>0.90368852459016391</c:v>
                </c:pt>
                <c:pt idx="7">
                  <c:v>0.90154774047629604</c:v>
                </c:pt>
                <c:pt idx="8">
                  <c:v>0.89318616005094464</c:v>
                </c:pt>
                <c:pt idx="9">
                  <c:v>0</c:v>
                </c:pt>
                <c:pt idx="10">
                  <c:v>0</c:v>
                </c:pt>
                <c:pt idx="11">
                  <c:v>0</c:v>
                </c:pt>
              </c:numCache>
            </c:numRef>
          </c:val>
          <c:smooth val="0"/>
          <c:extLst>
            <c:ext xmlns:c16="http://schemas.microsoft.com/office/drawing/2014/chart" uri="{C3380CC4-5D6E-409C-BE32-E72D297353CC}">
              <c16:uniqueId val="{00000000-1B81-487C-8D51-0245508995B9}"/>
            </c:ext>
          </c:extLst>
        </c:ser>
        <c:ser>
          <c:idx val="1"/>
          <c:order val="1"/>
          <c:tx>
            <c:strRef>
              <c:f>Agua!$A$21</c:f>
              <c:strCache>
                <c:ptCount val="1"/>
                <c:pt idx="0">
                  <c:v>CUMPLIMIENTO DE LA META= (diligenciar fórmula)</c:v>
                </c:pt>
              </c:strCache>
            </c:strRef>
          </c:tx>
          <c:spPr>
            <a:ln w="28575" cap="rnd">
              <a:solidFill>
                <a:schemeClr val="accent2"/>
              </a:solidFill>
              <a:round/>
            </a:ln>
            <a:effectLst/>
          </c:spPr>
          <c:marker>
            <c:symbol val="none"/>
          </c:marker>
          <c:cat>
            <c:strRef>
              <c:f>Agua!$C$18:$N$18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Agua!$C$21:$N$21</c:f>
              <c:numCache>
                <c:formatCode>0%</c:formatCode>
                <c:ptCount val="12"/>
                <c:pt idx="0">
                  <c:v>0.75</c:v>
                </c:pt>
                <c:pt idx="1">
                  <c:v>0.75</c:v>
                </c:pt>
                <c:pt idx="2">
                  <c:v>0.75</c:v>
                </c:pt>
                <c:pt idx="3">
                  <c:v>0.75</c:v>
                </c:pt>
                <c:pt idx="4">
                  <c:v>0.75</c:v>
                </c:pt>
                <c:pt idx="5">
                  <c:v>0.75</c:v>
                </c:pt>
                <c:pt idx="6">
                  <c:v>0.75</c:v>
                </c:pt>
                <c:pt idx="7">
                  <c:v>0.75</c:v>
                </c:pt>
                <c:pt idx="8">
                  <c:v>0.75</c:v>
                </c:pt>
                <c:pt idx="9">
                  <c:v>0.75</c:v>
                </c:pt>
                <c:pt idx="10">
                  <c:v>0.75</c:v>
                </c:pt>
                <c:pt idx="11">
                  <c:v>0.75</c:v>
                </c:pt>
              </c:numCache>
            </c:numRef>
          </c:val>
          <c:smooth val="0"/>
          <c:extLst>
            <c:ext xmlns:c16="http://schemas.microsoft.com/office/drawing/2014/chart" uri="{C3380CC4-5D6E-409C-BE32-E72D297353CC}">
              <c16:uniqueId val="{00000001-1B81-487C-8D51-0245508995B9}"/>
            </c:ext>
          </c:extLst>
        </c:ser>
        <c:dLbls>
          <c:showLegendKey val="0"/>
          <c:showVal val="0"/>
          <c:showCatName val="0"/>
          <c:showSerName val="0"/>
          <c:showPercent val="0"/>
          <c:showBubbleSize val="0"/>
        </c:dLbls>
        <c:smooth val="0"/>
        <c:axId val="604899343"/>
        <c:axId val="592418575"/>
      </c:lineChart>
      <c:catAx>
        <c:axId val="604899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2418575"/>
        <c:crosses val="autoZero"/>
        <c:auto val="1"/>
        <c:lblAlgn val="ctr"/>
        <c:lblOffset val="100"/>
        <c:noMultiLvlLbl val="0"/>
      </c:catAx>
      <c:valAx>
        <c:axId val="592418575"/>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4899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IANC</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Agua!$C$18:$N$18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tx>
          <c:spPr>
            <a:ln w="28575" cap="rnd">
              <a:solidFill>
                <a:schemeClr val="accent1"/>
              </a:solidFill>
              <a:round/>
            </a:ln>
            <a:effectLst/>
          </c:spPr>
          <c:marker>
            <c:symbol val="none"/>
          </c:marker>
          <c:cat>
            <c:strRef>
              <c:f>[1]Agua!$C$18:$N$18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Agua!$C$20:$N$20</c:f>
              <c:numCache>
                <c:formatCode>0.00%</c:formatCode>
                <c:ptCount val="12"/>
                <c:pt idx="0">
                  <c:v>0.88543554006968639</c:v>
                </c:pt>
                <c:pt idx="1">
                  <c:v>0.88399706816515999</c:v>
                </c:pt>
                <c:pt idx="2">
                  <c:v>0.89062964799206745</c:v>
                </c:pt>
                <c:pt idx="3">
                  <c:v>0.90002186748305268</c:v>
                </c:pt>
                <c:pt idx="4">
                  <c:v>0.89829162656400385</c:v>
                </c:pt>
                <c:pt idx="5">
                  <c:v>0.89722830051057623</c:v>
                </c:pt>
                <c:pt idx="6">
                  <c:v>0.90368852459016391</c:v>
                </c:pt>
                <c:pt idx="7">
                  <c:v>0.90154774047629604</c:v>
                </c:pt>
                <c:pt idx="8">
                  <c:v>0.89318616005094464</c:v>
                </c:pt>
                <c:pt idx="9">
                  <c:v>0</c:v>
                </c:pt>
                <c:pt idx="10">
                  <c:v>0</c:v>
                </c:pt>
                <c:pt idx="11">
                  <c:v>0</c:v>
                </c:pt>
              </c:numCache>
            </c:numRef>
          </c:val>
          <c:smooth val="0"/>
          <c:extLst>
            <c:ext xmlns:c16="http://schemas.microsoft.com/office/drawing/2014/chart" uri="{C3380CC4-5D6E-409C-BE32-E72D297353CC}">
              <c16:uniqueId val="{00000000-A6A9-48AA-9211-F1EB38C203A7}"/>
            </c:ext>
          </c:extLst>
        </c:ser>
        <c:ser>
          <c:idx val="1"/>
          <c:order val="1"/>
          <c:tx>
            <c:strRef>
              <c:f>[1]Agua!$A$21</c:f>
              <c:strCache>
                <c:ptCount val="1"/>
                <c:pt idx="0">
                  <c:v>CUMPLIMIENTO DE LA META= (diligenciar fórmula)</c:v>
                </c:pt>
              </c:strCache>
            </c:strRef>
          </c:tx>
          <c:spPr>
            <a:ln w="28575" cap="rnd">
              <a:solidFill>
                <a:schemeClr val="accent2"/>
              </a:solidFill>
              <a:round/>
            </a:ln>
            <a:effectLst/>
          </c:spPr>
          <c:marker>
            <c:symbol val="none"/>
          </c:marker>
          <c:cat>
            <c:strRef>
              <c:f>[1]Agua!$C$18:$N$18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[1]Agua!$C$21:$N$21</c:f>
              <c:numCache>
                <c:formatCode>General</c:formatCode>
                <c:ptCount val="12"/>
                <c:pt idx="0">
                  <c:v>0.75</c:v>
                </c:pt>
                <c:pt idx="1">
                  <c:v>0.75</c:v>
                </c:pt>
                <c:pt idx="2">
                  <c:v>0.75</c:v>
                </c:pt>
                <c:pt idx="3">
                  <c:v>0.75</c:v>
                </c:pt>
                <c:pt idx="4">
                  <c:v>0.75</c:v>
                </c:pt>
                <c:pt idx="5">
                  <c:v>0.75</c:v>
                </c:pt>
                <c:pt idx="6">
                  <c:v>0.75</c:v>
                </c:pt>
                <c:pt idx="7">
                  <c:v>0.75</c:v>
                </c:pt>
                <c:pt idx="8">
                  <c:v>0.75</c:v>
                </c:pt>
                <c:pt idx="9">
                  <c:v>0.75</c:v>
                </c:pt>
                <c:pt idx="10">
                  <c:v>0.75</c:v>
                </c:pt>
                <c:pt idx="11">
                  <c:v>0.75</c:v>
                </c:pt>
              </c:numCache>
            </c:numRef>
          </c:val>
          <c:smooth val="0"/>
          <c:extLst>
            <c:ext xmlns:c16="http://schemas.microsoft.com/office/drawing/2014/chart" uri="{C3380CC4-5D6E-409C-BE32-E72D297353CC}">
              <c16:uniqueId val="{00000001-A6A9-48AA-9211-F1EB38C203A7}"/>
            </c:ext>
          </c:extLst>
        </c:ser>
        <c:dLbls>
          <c:showLegendKey val="0"/>
          <c:showVal val="0"/>
          <c:showCatName val="0"/>
          <c:showSerName val="0"/>
          <c:showPercent val="0"/>
          <c:showBubbleSize val="0"/>
        </c:dLbls>
        <c:smooth val="0"/>
        <c:axId val="604899343"/>
        <c:axId val="592418575"/>
      </c:lineChart>
      <c:catAx>
        <c:axId val="60489934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592418575"/>
        <c:crosses val="autoZero"/>
        <c:auto val="1"/>
        <c:lblAlgn val="ctr"/>
        <c:lblOffset val="100"/>
        <c:noMultiLvlLbl val="0"/>
      </c:catAx>
      <c:valAx>
        <c:axId val="592418575"/>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604899343"/>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Suspensión </a:t>
            </a:r>
          </a:p>
          <a:p>
            <a:pPr>
              <a:defRPr/>
            </a:pP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tx>
            <c:strRef>
              <c:f>Suspension!$A$21</c:f>
              <c:strCache>
                <c:ptCount val="1"/>
                <c:pt idx="0">
                  <c:v>CALCULO DEL INDICADOR (introducir en la fórmula los valores completos, no directamente el resultado)</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strRef>
              <c:f>Suspension!$C$19:$N$19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Suspension!$C$21:$N$21</c:f>
              <c:numCache>
                <c:formatCode>0.0%</c:formatCode>
                <c:ptCount val="12"/>
                <c:pt idx="0">
                  <c:v>0.99999999999999956</c:v>
                </c:pt>
                <c:pt idx="1">
                  <c:v>0.99999999999999956</c:v>
                </c:pt>
                <c:pt idx="2">
                  <c:v>0.99999999999999956</c:v>
                </c:pt>
                <c:pt idx="3">
                  <c:v>0.99999999999999956</c:v>
                </c:pt>
                <c:pt idx="4">
                  <c:v>0.98329999999999995</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C8E2-42FD-BF6E-F8628851F718}"/>
            </c:ext>
          </c:extLst>
        </c:ser>
        <c:ser>
          <c:idx val="1"/>
          <c:order val="1"/>
          <c:tx>
            <c:strRef>
              <c:f>Suspension!$A$22</c:f>
              <c:strCache>
                <c:ptCount val="1"/>
                <c:pt idx="0">
                  <c:v>CUMPLIMIENTO DE LA META= (diligenciar fórmula)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strRef>
              <c:f>Suspension!$C$19:$N$19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Suspension!$C$22:$N$22</c:f>
              <c:numCache>
                <c:formatCode>0%</c:formatCode>
                <c:ptCount val="12"/>
                <c:pt idx="0">
                  <c:v>0.96</c:v>
                </c:pt>
                <c:pt idx="1">
                  <c:v>0.96</c:v>
                </c:pt>
                <c:pt idx="2">
                  <c:v>0.96</c:v>
                </c:pt>
                <c:pt idx="3">
                  <c:v>0.96</c:v>
                </c:pt>
                <c:pt idx="4">
                  <c:v>0.96</c:v>
                </c:pt>
                <c:pt idx="5">
                  <c:v>0.96</c:v>
                </c:pt>
                <c:pt idx="6">
                  <c:v>0.96</c:v>
                </c:pt>
                <c:pt idx="7">
                  <c:v>0.96</c:v>
                </c:pt>
                <c:pt idx="8">
                  <c:v>0.96</c:v>
                </c:pt>
                <c:pt idx="9">
                  <c:v>0.96</c:v>
                </c:pt>
                <c:pt idx="10">
                  <c:v>0.96</c:v>
                </c:pt>
                <c:pt idx="11">
                  <c:v>0.96</c:v>
                </c:pt>
              </c:numCache>
            </c:numRef>
          </c:val>
          <c:smooth val="0"/>
          <c:extLst>
            <c:ext xmlns:c16="http://schemas.microsoft.com/office/drawing/2014/chart" uri="{C3380CC4-5D6E-409C-BE32-E72D297353CC}">
              <c16:uniqueId val="{00000001-C8E2-42FD-BF6E-F8628851F718}"/>
            </c:ext>
          </c:extLst>
        </c:ser>
        <c:dLbls>
          <c:showLegendKey val="0"/>
          <c:showVal val="0"/>
          <c:showCatName val="0"/>
          <c:showSerName val="0"/>
          <c:showPercent val="0"/>
          <c:showBubbleSize val="0"/>
        </c:dLbls>
        <c:smooth val="0"/>
        <c:axId val="1858013791"/>
        <c:axId val="2043726943"/>
      </c:lineChart>
      <c:catAx>
        <c:axId val="1858013791"/>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43726943"/>
        <c:crosses val="autoZero"/>
        <c:auto val="1"/>
        <c:lblAlgn val="ctr"/>
        <c:lblOffset val="100"/>
        <c:noMultiLvlLbl val="0"/>
      </c:catAx>
      <c:valAx>
        <c:axId val="2043726943"/>
        <c:scaling>
          <c:orientation val="minMax"/>
        </c:scaling>
        <c:delete val="0"/>
        <c:axPos val="l"/>
        <c:majorGridlines>
          <c:spPr>
            <a:ln w="9525" cap="flat" cmpd="sng" algn="ctr">
              <a:solidFill>
                <a:schemeClr val="lt1">
                  <a:lumMod val="95000"/>
                  <a:alpha val="1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580137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Suspensión </a:t>
            </a:r>
          </a:p>
          <a:p>
            <a:pPr>
              <a:defRPr/>
            </a:pP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tx>
            <c:strRef>
              <c:f>Suspension!$A$21</c:f>
              <c:strCache>
                <c:ptCount val="1"/>
                <c:pt idx="0">
                  <c:v>CALCULO DEL INDICADOR (introducir en la fórmula los valores completos, no directamente el resultado)</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strRef>
              <c:f>[1]Suspension!$C$19:$N$19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Suspension!$C$21:$N$21</c:f>
              <c:numCache>
                <c:formatCode>0.0%</c:formatCode>
                <c:ptCount val="12"/>
                <c:pt idx="0">
                  <c:v>0.99999999999999956</c:v>
                </c:pt>
                <c:pt idx="1">
                  <c:v>0.99999999999999956</c:v>
                </c:pt>
                <c:pt idx="2">
                  <c:v>0.99999999999999956</c:v>
                </c:pt>
                <c:pt idx="3">
                  <c:v>0.99999999999999956</c:v>
                </c:pt>
                <c:pt idx="4">
                  <c:v>0.98329999999999995</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596B-469B-97F4-9839C3D2F4F8}"/>
            </c:ext>
          </c:extLst>
        </c:ser>
        <c:ser>
          <c:idx val="1"/>
          <c:order val="1"/>
          <c:tx>
            <c:strRef>
              <c:f>Suspension!$A$22</c:f>
              <c:strCache>
                <c:ptCount val="1"/>
                <c:pt idx="0">
                  <c:v>CUMPLIMIENTO DE LA META= (diligenciar fórmula)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strRef>
              <c:f>[1]Suspension!$C$19:$N$19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Suspension!$C$22:$N$22</c:f>
              <c:numCache>
                <c:formatCode>0%</c:formatCode>
                <c:ptCount val="12"/>
                <c:pt idx="0">
                  <c:v>0.96</c:v>
                </c:pt>
                <c:pt idx="1">
                  <c:v>0.96</c:v>
                </c:pt>
                <c:pt idx="2">
                  <c:v>0.96</c:v>
                </c:pt>
                <c:pt idx="3">
                  <c:v>0.96</c:v>
                </c:pt>
                <c:pt idx="4">
                  <c:v>0.96</c:v>
                </c:pt>
                <c:pt idx="5">
                  <c:v>0.96</c:v>
                </c:pt>
                <c:pt idx="6">
                  <c:v>0.96</c:v>
                </c:pt>
                <c:pt idx="7">
                  <c:v>0.96</c:v>
                </c:pt>
                <c:pt idx="8">
                  <c:v>0.96</c:v>
                </c:pt>
                <c:pt idx="9">
                  <c:v>0.96</c:v>
                </c:pt>
                <c:pt idx="10">
                  <c:v>0.96</c:v>
                </c:pt>
                <c:pt idx="11">
                  <c:v>0.96</c:v>
                </c:pt>
              </c:numCache>
            </c:numRef>
          </c:val>
          <c:smooth val="0"/>
          <c:extLst>
            <c:ext xmlns:c16="http://schemas.microsoft.com/office/drawing/2014/chart" uri="{C3380CC4-5D6E-409C-BE32-E72D297353CC}">
              <c16:uniqueId val="{00000001-596B-469B-97F4-9839C3D2F4F8}"/>
            </c:ext>
          </c:extLst>
        </c:ser>
        <c:dLbls>
          <c:showLegendKey val="0"/>
          <c:showVal val="0"/>
          <c:showCatName val="0"/>
          <c:showSerName val="0"/>
          <c:showPercent val="0"/>
          <c:showBubbleSize val="0"/>
        </c:dLbls>
        <c:smooth val="0"/>
        <c:axId val="1858013791"/>
        <c:axId val="2043726943"/>
      </c:lineChart>
      <c:catAx>
        <c:axId val="1858013791"/>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43726943"/>
        <c:crosses val="autoZero"/>
        <c:auto val="1"/>
        <c:lblAlgn val="ctr"/>
        <c:lblOffset val="100"/>
        <c:noMultiLvlLbl val="0"/>
      </c:catAx>
      <c:valAx>
        <c:axId val="2043726943"/>
        <c:scaling>
          <c:orientation val="minMax"/>
        </c:scaling>
        <c:delete val="0"/>
        <c:axPos val="l"/>
        <c:majorGridlines>
          <c:spPr>
            <a:ln w="9525" cap="flat" cmpd="sng" algn="ctr">
              <a:solidFill>
                <a:schemeClr val="lt1">
                  <a:lumMod val="95000"/>
                  <a:alpha val="10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580137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IRCA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IPUF!$A$21</c:f>
              <c:strCache>
                <c:ptCount val="1"/>
                <c:pt idx="0">
                  <c:v>CALCULO DEL INDICADOR (introducir en la fórmula los valores completos, no directamente el resultado)</c:v>
                </c:pt>
              </c:strCache>
            </c:strRef>
          </c:tx>
          <c:spPr>
            <a:ln w="28575" cap="rnd">
              <a:solidFill>
                <a:schemeClr val="accent1"/>
              </a:solidFill>
              <a:round/>
            </a:ln>
            <a:effectLst/>
          </c:spPr>
          <c:marker>
            <c:symbol val="none"/>
          </c:marker>
          <c:cat>
            <c:strRef>
              <c:f>IPUF!$C$19:$N$19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IPUF!$C$21:$N$21</c:f>
              <c:numCache>
                <c:formatCode>0.00%</c:formatCode>
                <c:ptCount val="12"/>
                <c:pt idx="0">
                  <c:v>0.90429999999999999</c:v>
                </c:pt>
                <c:pt idx="1">
                  <c:v>0.90180000000000005</c:v>
                </c:pt>
                <c:pt idx="2">
                  <c:v>0.90910000000000002</c:v>
                </c:pt>
                <c:pt idx="3">
                  <c:v>0.91790000000000005</c:v>
                </c:pt>
                <c:pt idx="4">
                  <c:v>0.91769999999999996</c:v>
                </c:pt>
                <c:pt idx="5">
                  <c:v>0.91659999999999997</c:v>
                </c:pt>
                <c:pt idx="6">
                  <c:v>0.92349999999999999</c:v>
                </c:pt>
                <c:pt idx="7">
                  <c:v>0.9224</c:v>
                </c:pt>
                <c:pt idx="8">
                  <c:v>0.9143</c:v>
                </c:pt>
              </c:numCache>
            </c:numRef>
          </c:val>
          <c:smooth val="0"/>
          <c:extLst>
            <c:ext xmlns:c16="http://schemas.microsoft.com/office/drawing/2014/chart" uri="{C3380CC4-5D6E-409C-BE32-E72D297353CC}">
              <c16:uniqueId val="{00000000-3557-4165-BB51-0A41E5DD2EA1}"/>
            </c:ext>
          </c:extLst>
        </c:ser>
        <c:ser>
          <c:idx val="1"/>
          <c:order val="1"/>
          <c:tx>
            <c:strRef>
              <c:f>IPUF!$A$22</c:f>
              <c:strCache>
                <c:ptCount val="1"/>
                <c:pt idx="0">
                  <c:v>CUMPLIMIENTO DE LA META= (diligenciar fórmula)</c:v>
                </c:pt>
              </c:strCache>
            </c:strRef>
          </c:tx>
          <c:spPr>
            <a:ln w="28575" cap="rnd">
              <a:solidFill>
                <a:schemeClr val="accent2"/>
              </a:solidFill>
              <a:round/>
            </a:ln>
            <a:effectLst/>
          </c:spPr>
          <c:marker>
            <c:symbol val="none"/>
          </c:marker>
          <c:cat>
            <c:strRef>
              <c:f>IPUF!$C$19:$N$19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IPUF!$C$22:$N$22</c:f>
              <c:numCache>
                <c:formatCode>0.00%</c:formatCode>
                <c:ptCount val="12"/>
                <c:pt idx="0">
                  <c:v>0.88</c:v>
                </c:pt>
                <c:pt idx="1">
                  <c:v>0.88</c:v>
                </c:pt>
                <c:pt idx="2">
                  <c:v>0.88</c:v>
                </c:pt>
                <c:pt idx="3">
                  <c:v>0.88</c:v>
                </c:pt>
                <c:pt idx="4">
                  <c:v>0.88</c:v>
                </c:pt>
                <c:pt idx="5">
                  <c:v>0.88</c:v>
                </c:pt>
                <c:pt idx="6">
                  <c:v>0.88</c:v>
                </c:pt>
                <c:pt idx="7">
                  <c:v>0.88</c:v>
                </c:pt>
                <c:pt idx="8">
                  <c:v>0.88</c:v>
                </c:pt>
              </c:numCache>
            </c:numRef>
          </c:val>
          <c:smooth val="0"/>
          <c:extLst>
            <c:ext xmlns:c16="http://schemas.microsoft.com/office/drawing/2014/chart" uri="{C3380CC4-5D6E-409C-BE32-E72D297353CC}">
              <c16:uniqueId val="{00000001-3557-4165-BB51-0A41E5DD2EA1}"/>
            </c:ext>
          </c:extLst>
        </c:ser>
        <c:dLbls>
          <c:showLegendKey val="0"/>
          <c:showVal val="0"/>
          <c:showCatName val="0"/>
          <c:showSerName val="0"/>
          <c:showPercent val="0"/>
          <c:showBubbleSize val="0"/>
        </c:dLbls>
        <c:smooth val="0"/>
        <c:axId val="155767391"/>
        <c:axId val="2048422079"/>
      </c:lineChart>
      <c:catAx>
        <c:axId val="155767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48422079"/>
        <c:crosses val="autoZero"/>
        <c:auto val="1"/>
        <c:lblAlgn val="ctr"/>
        <c:lblOffset val="100"/>
        <c:noMultiLvlLbl val="0"/>
      </c:catAx>
      <c:valAx>
        <c:axId val="2048422079"/>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7673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IRCA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IRCA!$A$21</c:f>
              <c:strCache>
                <c:ptCount val="1"/>
                <c:pt idx="0">
                  <c:v>CALCULO DEL INDICADOR (introducir en la fórmula los valores completos, no directamente el resultado)</c:v>
                </c:pt>
              </c:strCache>
            </c:strRef>
          </c:tx>
          <c:spPr>
            <a:ln w="28575" cap="rnd">
              <a:solidFill>
                <a:schemeClr val="accent1"/>
              </a:solidFill>
              <a:round/>
            </a:ln>
            <a:effectLst/>
          </c:spPr>
          <c:marker>
            <c:symbol val="none"/>
          </c:marker>
          <c:cat>
            <c:strRef>
              <c:f>IRCA!$C$19:$N$19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IRCA!$C$21:$N$21</c:f>
              <c:numCache>
                <c:formatCode>0.0%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71E9-4405-B46F-C0DD79F632D8}"/>
            </c:ext>
          </c:extLst>
        </c:ser>
        <c:ser>
          <c:idx val="1"/>
          <c:order val="1"/>
          <c:tx>
            <c:strRef>
              <c:f>IRCA!$A$22</c:f>
              <c:strCache>
                <c:ptCount val="1"/>
                <c:pt idx="0">
                  <c:v>CUMPLIMIENTO DE LA META= (diligenciar fórmula)</c:v>
                </c:pt>
              </c:strCache>
            </c:strRef>
          </c:tx>
          <c:spPr>
            <a:ln w="28575" cap="rnd">
              <a:solidFill>
                <a:schemeClr val="accent2"/>
              </a:solidFill>
              <a:round/>
            </a:ln>
            <a:effectLst/>
          </c:spPr>
          <c:marker>
            <c:symbol val="none"/>
          </c:marker>
          <c:cat>
            <c:strRef>
              <c:f>IRCA!$C$19:$N$19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IRCA!$C$22:$N$22</c:f>
              <c:numCache>
                <c:formatCode>0%</c:formatCode>
                <c:ptCount val="12"/>
                <c:pt idx="0">
                  <c:v>0.89999999999999991</c:v>
                </c:pt>
                <c:pt idx="1">
                  <c:v>0.89999999999999991</c:v>
                </c:pt>
                <c:pt idx="2">
                  <c:v>0.89999999999999991</c:v>
                </c:pt>
                <c:pt idx="3">
                  <c:v>0.89999999999999991</c:v>
                </c:pt>
                <c:pt idx="4">
                  <c:v>0.89999999999999991</c:v>
                </c:pt>
                <c:pt idx="5">
                  <c:v>0.89999999999999991</c:v>
                </c:pt>
                <c:pt idx="6">
                  <c:v>0.89999999999999991</c:v>
                </c:pt>
                <c:pt idx="7">
                  <c:v>0.89999999999999991</c:v>
                </c:pt>
                <c:pt idx="8">
                  <c:v>0.89999999999999991</c:v>
                </c:pt>
                <c:pt idx="9">
                  <c:v>0.89999999999999991</c:v>
                </c:pt>
                <c:pt idx="10">
                  <c:v>0.89999999999999991</c:v>
                </c:pt>
                <c:pt idx="11">
                  <c:v>0.89999999999999991</c:v>
                </c:pt>
              </c:numCache>
            </c:numRef>
          </c:val>
          <c:smooth val="0"/>
          <c:extLst>
            <c:ext xmlns:c16="http://schemas.microsoft.com/office/drawing/2014/chart" uri="{C3380CC4-5D6E-409C-BE32-E72D297353CC}">
              <c16:uniqueId val="{00000001-71E9-4405-B46F-C0DD79F632D8}"/>
            </c:ext>
          </c:extLst>
        </c:ser>
        <c:dLbls>
          <c:showLegendKey val="0"/>
          <c:showVal val="0"/>
          <c:showCatName val="0"/>
          <c:showSerName val="0"/>
          <c:showPercent val="0"/>
          <c:showBubbleSize val="0"/>
        </c:dLbls>
        <c:smooth val="0"/>
        <c:axId val="155767391"/>
        <c:axId val="2048422079"/>
      </c:lineChart>
      <c:catAx>
        <c:axId val="155767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48422079"/>
        <c:crosses val="autoZero"/>
        <c:auto val="1"/>
        <c:lblAlgn val="ctr"/>
        <c:lblOffset val="100"/>
        <c:noMultiLvlLbl val="0"/>
      </c:catAx>
      <c:valAx>
        <c:axId val="20484220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5576739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Parametros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lineChart>
        <c:grouping val="standard"/>
        <c:varyColors val="0"/>
        <c:ser>
          <c:idx val="0"/>
          <c:order val="0"/>
          <c:tx>
            <c:strRef>
              <c:f>'Parametros '!$A$20</c:f>
              <c:strCache>
                <c:ptCount val="1"/>
                <c:pt idx="0">
                  <c:v>CALCULO DEL INDICADOR (introducir en la fórmula los valores completos, no directamente el resultado)</c:v>
                </c:pt>
              </c:strCache>
            </c:strRef>
          </c:tx>
          <c:spPr>
            <a:ln w="31750" cap="rnd">
              <a:solidFill>
                <a:schemeClr val="accent1"/>
              </a:solidFill>
              <a:round/>
            </a:ln>
            <a:effectLst/>
          </c:spPr>
          <c:marker>
            <c:symbol val="none"/>
          </c:marker>
          <c:cat>
            <c:strRef>
              <c:f>'Parametros '!$C$18:$N$18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'!$C$20:$N$20</c:f>
              <c:numCache>
                <c:formatCode>0.00%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D1D9-4728-8ED9-79598B838D14}"/>
            </c:ext>
          </c:extLst>
        </c:ser>
        <c:ser>
          <c:idx val="1"/>
          <c:order val="1"/>
          <c:tx>
            <c:strRef>
              <c:f>'Parametros '!$A$22</c:f>
              <c:strCache>
                <c:ptCount val="1"/>
                <c:pt idx="0">
                  <c:v>CUMPLIMIENTO DE LA META= (diligenciar fórmula)</c:v>
                </c:pt>
              </c:strCache>
            </c:strRef>
          </c:tx>
          <c:spPr>
            <a:ln w="31750" cap="rnd">
              <a:solidFill>
                <a:schemeClr val="accent2"/>
              </a:solidFill>
              <a:round/>
            </a:ln>
            <a:effectLst/>
          </c:spPr>
          <c:marker>
            <c:symbol val="none"/>
          </c:marker>
          <c:cat>
            <c:strRef>
              <c:f>'Parametros '!$C$18:$N$18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'!$C$21:$N$21</c:f>
              <c:numCache>
                <c:formatCode>0%</c:formatCode>
                <c:ptCount val="12"/>
                <c:pt idx="0">
                  <c:v>0.90910000000000002</c:v>
                </c:pt>
                <c:pt idx="1">
                  <c:v>0.90910000000000002</c:v>
                </c:pt>
                <c:pt idx="2">
                  <c:v>0.90910000000000002</c:v>
                </c:pt>
                <c:pt idx="3">
                  <c:v>0.90910000000000002</c:v>
                </c:pt>
                <c:pt idx="4">
                  <c:v>0.90910000000000002</c:v>
                </c:pt>
                <c:pt idx="5">
                  <c:v>0.90910000000000002</c:v>
                </c:pt>
                <c:pt idx="6">
                  <c:v>0.90910000000000002</c:v>
                </c:pt>
                <c:pt idx="7">
                  <c:v>0.90910000000000002</c:v>
                </c:pt>
                <c:pt idx="8">
                  <c:v>0.90910000000000002</c:v>
                </c:pt>
                <c:pt idx="9">
                  <c:v>0.90910000000000002</c:v>
                </c:pt>
                <c:pt idx="10">
                  <c:v>0.90910000000000002</c:v>
                </c:pt>
                <c:pt idx="11">
                  <c:v>0.90910000000000002</c:v>
                </c:pt>
              </c:numCache>
            </c:numRef>
          </c:val>
          <c:smooth val="0"/>
          <c:extLst>
            <c:ext xmlns:c16="http://schemas.microsoft.com/office/drawing/2014/chart" uri="{C3380CC4-5D6E-409C-BE32-E72D297353CC}">
              <c16:uniqueId val="{00000001-D1D9-4728-8ED9-79598B838D14}"/>
            </c:ext>
          </c:extLst>
        </c:ser>
        <c:dLbls>
          <c:showLegendKey val="0"/>
          <c:showVal val="0"/>
          <c:showCatName val="0"/>
          <c:showSerName val="0"/>
          <c:showPercent val="0"/>
          <c:showBubbleSize val="0"/>
        </c:dLbls>
        <c:smooth val="0"/>
        <c:axId val="881786031"/>
        <c:axId val="744427375"/>
      </c:lineChart>
      <c:catAx>
        <c:axId val="881786031"/>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744427375"/>
        <c:crosses val="autoZero"/>
        <c:auto val="1"/>
        <c:lblAlgn val="ctr"/>
        <c:lblOffset val="100"/>
        <c:noMultiLvlLbl val="0"/>
      </c:catAx>
      <c:valAx>
        <c:axId val="744427375"/>
        <c:scaling>
          <c:orientation val="minMax"/>
        </c:scaling>
        <c:delete val="0"/>
        <c:axPos val="l"/>
        <c:majorGridlines>
          <c:spPr>
            <a:ln w="9525" cap="flat" cmpd="sng" algn="ctr">
              <a:solidFill>
                <a:schemeClr val="tx2">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8817860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Agua vertida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'Parametros PTAR'!$A$20</c:f>
              <c:strCache>
                <c:ptCount val="1"/>
                <c:pt idx="0">
                  <c:v>CALCULO DEL INDICADOR (introducir en la fórmula los valores completos, no directamente el resultado)</c:v>
                </c:pt>
              </c:strCache>
            </c:strRef>
          </c:tx>
          <c:spPr>
            <a:ln w="28575" cap="rnd">
              <a:solidFill>
                <a:schemeClr val="accent1"/>
              </a:solidFill>
              <a:round/>
            </a:ln>
            <a:effectLst/>
          </c:spPr>
          <c:marker>
            <c:symbol val="none"/>
          </c:marker>
          <c:cat>
            <c:strRef>
              <c:f>'Parametros PTAR'!$C$18:$N$18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PTAR'!$C$20:$N$20</c:f>
              <c:numCache>
                <c:formatCode>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6F59-44BD-ACBF-29DB4625CF8D}"/>
            </c:ext>
          </c:extLst>
        </c:ser>
        <c:ser>
          <c:idx val="1"/>
          <c:order val="1"/>
          <c:tx>
            <c:strRef>
              <c:f>'Parametros PTAR'!$A$21</c:f>
              <c:strCache>
                <c:ptCount val="1"/>
                <c:pt idx="0">
                  <c:v>CUMPLIMIENTO DE LA META= (diligenciar fórmula)</c:v>
                </c:pt>
              </c:strCache>
            </c:strRef>
          </c:tx>
          <c:spPr>
            <a:ln w="28575" cap="rnd">
              <a:solidFill>
                <a:schemeClr val="accent2"/>
              </a:solidFill>
              <a:round/>
            </a:ln>
            <a:effectLst/>
          </c:spPr>
          <c:marker>
            <c:symbol val="none"/>
          </c:marker>
          <c:cat>
            <c:strRef>
              <c:f>'Parametros PTAR'!$C$18:$N$18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PTAR'!$C$21:$N$21</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6F59-44BD-ACBF-29DB4625CF8D}"/>
            </c:ext>
          </c:extLst>
        </c:ser>
        <c:dLbls>
          <c:showLegendKey val="0"/>
          <c:showVal val="0"/>
          <c:showCatName val="0"/>
          <c:showSerName val="0"/>
          <c:showPercent val="0"/>
          <c:showBubbleSize val="0"/>
        </c:dLbls>
        <c:smooth val="0"/>
        <c:axId val="1930004111"/>
        <c:axId val="115104927"/>
      </c:lineChart>
      <c:catAx>
        <c:axId val="1930004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104927"/>
        <c:crosses val="autoZero"/>
        <c:auto val="1"/>
        <c:lblAlgn val="ctr"/>
        <c:lblOffset val="100"/>
        <c:noMultiLvlLbl val="0"/>
      </c:catAx>
      <c:valAx>
        <c:axId val="1151049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0004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Agua vertida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'Parametros PTAR'!$A$20</c:f>
              <c:strCache>
                <c:ptCount val="1"/>
                <c:pt idx="0">
                  <c:v>CALCULO DEL INDICADOR (introducir en la fórmula los valores completos, no directamente el resultado)</c:v>
                </c:pt>
              </c:strCache>
            </c:strRef>
          </c:tx>
          <c:spPr>
            <a:ln w="28575" cap="rnd">
              <a:solidFill>
                <a:schemeClr val="accent1"/>
              </a:solidFill>
              <a:round/>
            </a:ln>
            <a:effectLst/>
          </c:spPr>
          <c:marker>
            <c:symbol val="none"/>
          </c:marker>
          <c:cat>
            <c:strRef>
              <c:f>'Parametros PTAR'!$C$18:$N$18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PTAR'!$C$20:$N$20</c:f>
              <c:numCache>
                <c:formatCode>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234B-48C5-A135-8B5E326D4EFF}"/>
            </c:ext>
          </c:extLst>
        </c:ser>
        <c:ser>
          <c:idx val="1"/>
          <c:order val="1"/>
          <c:tx>
            <c:strRef>
              <c:f>'Parametros PTAR'!$A$21</c:f>
              <c:strCache>
                <c:ptCount val="1"/>
                <c:pt idx="0">
                  <c:v>CUMPLIMIENTO DE LA META= (diligenciar fórmula)</c:v>
                </c:pt>
              </c:strCache>
            </c:strRef>
          </c:tx>
          <c:spPr>
            <a:ln w="28575" cap="rnd">
              <a:solidFill>
                <a:schemeClr val="accent2"/>
              </a:solidFill>
              <a:round/>
            </a:ln>
            <a:effectLst/>
          </c:spPr>
          <c:marker>
            <c:symbol val="none"/>
          </c:marker>
          <c:cat>
            <c:strRef>
              <c:f>'Parametros PTAR'!$C$18:$N$18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'Parametros PTAR'!$C$21:$N$21</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234B-48C5-A135-8B5E326D4EFF}"/>
            </c:ext>
          </c:extLst>
        </c:ser>
        <c:dLbls>
          <c:showLegendKey val="0"/>
          <c:showVal val="0"/>
          <c:showCatName val="0"/>
          <c:showSerName val="0"/>
          <c:showPercent val="0"/>
          <c:showBubbleSize val="0"/>
        </c:dLbls>
        <c:smooth val="0"/>
        <c:axId val="1930004111"/>
        <c:axId val="115104927"/>
      </c:lineChart>
      <c:catAx>
        <c:axId val="1930004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104927"/>
        <c:crosses val="autoZero"/>
        <c:auto val="1"/>
        <c:lblAlgn val="ctr"/>
        <c:lblOffset val="100"/>
        <c:noMultiLvlLbl val="0"/>
      </c:catAx>
      <c:valAx>
        <c:axId val="1151049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0004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EFICACIA!$B$5:$K$5</c:f>
              <c:numCache>
                <c:formatCode>0%</c:formatCode>
                <c:ptCount val="10"/>
                <c:pt idx="0">
                  <c:v>1</c:v>
                </c:pt>
                <c:pt idx="1">
                  <c:v>1</c:v>
                </c:pt>
                <c:pt idx="2">
                  <c:v>1</c:v>
                </c:pt>
                <c:pt idx="3">
                  <c:v>1</c:v>
                </c:pt>
                <c:pt idx="4">
                  <c:v>1</c:v>
                </c:pt>
                <c:pt idx="5">
                  <c:v>1</c:v>
                </c:pt>
                <c:pt idx="6">
                  <c:v>1</c:v>
                </c:pt>
              </c:numCache>
            </c:numRef>
          </c:yVal>
          <c:smooth val="0"/>
          <c:extLst>
            <c:ext xmlns:c16="http://schemas.microsoft.com/office/drawing/2014/chart" uri="{C3380CC4-5D6E-409C-BE32-E72D297353CC}">
              <c16:uniqueId val="{00000001-A2CA-481E-80B9-98B3211479B4}"/>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s-CO" b="1">
                <a:solidFill>
                  <a:schemeClr val="tx1"/>
                </a:solidFill>
              </a:rPr>
              <a:t>Oxígeno Disuelto en Tanque de Contacto</a:t>
            </a:r>
          </a:p>
        </c:rich>
      </c:tx>
      <c:overlay val="0"/>
      <c:spPr>
        <a:noFill/>
        <a:ln>
          <a:noFill/>
        </a:ln>
        <a:effectLst/>
      </c:spPr>
      <c:txPr>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endParaRPr lang="es-CO"/>
        </a:p>
      </c:txPr>
    </c:title>
    <c:autoTitleDeleted val="0"/>
    <c:plotArea>
      <c:layout/>
      <c:lineChart>
        <c:grouping val="standard"/>
        <c:varyColors val="0"/>
        <c:ser>
          <c:idx val="0"/>
          <c:order val="0"/>
          <c:tx>
            <c:strRef>
              <c:f>'Calidad PTAR'!$B$66</c:f>
              <c:strCache>
                <c:ptCount val="1"/>
                <c:pt idx="0">
                  <c:v>Oxígeno Disuelto en Tanque de Contacto</c:v>
                </c:pt>
              </c:strCache>
            </c:strRef>
          </c:tx>
          <c:spPr>
            <a:ln w="38100" cap="rnd">
              <a:solidFill>
                <a:schemeClr val="accent1"/>
              </a:solidFill>
              <a:round/>
            </a:ln>
            <a:effectLst/>
          </c:spPr>
          <c:marker>
            <c:symbol val="none"/>
          </c:marker>
          <c:cat>
            <c:strRef>
              <c:f>'Calidad PTAR'!$C$65:$M$65</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PTAR'!$C$66:$M$66</c:f>
              <c:numCache>
                <c:formatCode>0.00</c:formatCode>
                <c:ptCount val="11"/>
                <c:pt idx="0">
                  <c:v>4.0999999999999996</c:v>
                </c:pt>
                <c:pt idx="1">
                  <c:v>3.9</c:v>
                </c:pt>
                <c:pt idx="2">
                  <c:v>3.8</c:v>
                </c:pt>
                <c:pt idx="3">
                  <c:v>3.7</c:v>
                </c:pt>
                <c:pt idx="4">
                  <c:v>3.8</c:v>
                </c:pt>
                <c:pt idx="5">
                  <c:v>4</c:v>
                </c:pt>
                <c:pt idx="6">
                  <c:v>3.6</c:v>
                </c:pt>
                <c:pt idx="7">
                  <c:v>3.8</c:v>
                </c:pt>
                <c:pt idx="8">
                  <c:v>3.7</c:v>
                </c:pt>
                <c:pt idx="9">
                  <c:v>0</c:v>
                </c:pt>
                <c:pt idx="10">
                  <c:v>0</c:v>
                </c:pt>
              </c:numCache>
            </c:numRef>
          </c:val>
          <c:smooth val="0"/>
          <c:extLst>
            <c:ext xmlns:c16="http://schemas.microsoft.com/office/drawing/2014/chart" uri="{C3380CC4-5D6E-409C-BE32-E72D297353CC}">
              <c16:uniqueId val="{00000000-B278-4A38-8390-2EBEDBEF66FF}"/>
            </c:ext>
          </c:extLst>
        </c:ser>
        <c:ser>
          <c:idx val="1"/>
          <c:order val="1"/>
          <c:tx>
            <c:strRef>
              <c:f>'Calidad PTAR'!$B$67</c:f>
              <c:strCache>
                <c:ptCount val="1"/>
                <c:pt idx="0">
                  <c:v>Meta Oxigeno</c:v>
                </c:pt>
              </c:strCache>
            </c:strRef>
          </c:tx>
          <c:spPr>
            <a:ln w="38100" cap="rnd">
              <a:solidFill>
                <a:schemeClr val="accent2"/>
              </a:solidFill>
              <a:round/>
            </a:ln>
            <a:effectLst/>
          </c:spPr>
          <c:marker>
            <c:symbol val="none"/>
          </c:marker>
          <c:cat>
            <c:strRef>
              <c:f>'Calidad PTAR'!$C$65:$M$65</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PTAR'!$C$67:$M$67</c:f>
              <c:numCache>
                <c:formatCode>General</c:formatCode>
                <c:ptCount val="11"/>
                <c:pt idx="0">
                  <c:v>6</c:v>
                </c:pt>
                <c:pt idx="1">
                  <c:v>6</c:v>
                </c:pt>
                <c:pt idx="2">
                  <c:v>6</c:v>
                </c:pt>
                <c:pt idx="3">
                  <c:v>6</c:v>
                </c:pt>
                <c:pt idx="4">
                  <c:v>6</c:v>
                </c:pt>
                <c:pt idx="5">
                  <c:v>6</c:v>
                </c:pt>
                <c:pt idx="6">
                  <c:v>6</c:v>
                </c:pt>
                <c:pt idx="7">
                  <c:v>6</c:v>
                </c:pt>
                <c:pt idx="8">
                  <c:v>6</c:v>
                </c:pt>
                <c:pt idx="9">
                  <c:v>6</c:v>
                </c:pt>
                <c:pt idx="10">
                  <c:v>6</c:v>
                </c:pt>
              </c:numCache>
            </c:numRef>
          </c:val>
          <c:smooth val="0"/>
          <c:extLst>
            <c:ext xmlns:c16="http://schemas.microsoft.com/office/drawing/2014/chart" uri="{C3380CC4-5D6E-409C-BE32-E72D297353CC}">
              <c16:uniqueId val="{00000001-B278-4A38-8390-2EBEDBEF66FF}"/>
            </c:ext>
          </c:extLst>
        </c:ser>
        <c:dLbls>
          <c:showLegendKey val="0"/>
          <c:showVal val="0"/>
          <c:showCatName val="0"/>
          <c:showSerName val="0"/>
          <c:showPercent val="0"/>
          <c:showBubbleSize val="0"/>
        </c:dLbls>
        <c:smooth val="0"/>
        <c:axId val="16934096"/>
        <c:axId val="206989008"/>
      </c:lineChart>
      <c:catAx>
        <c:axId val="16934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206989008"/>
        <c:crosses val="autoZero"/>
        <c:auto val="1"/>
        <c:lblAlgn val="ctr"/>
        <c:lblOffset val="100"/>
        <c:noMultiLvlLbl val="0"/>
      </c:catAx>
      <c:valAx>
        <c:axId val="2069890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3409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s-CO" b="1">
                <a:solidFill>
                  <a:schemeClr val="tx1"/>
                </a:solidFill>
              </a:rPr>
              <a:t>Lodos Sedimentables en Tanque Reactor No. 2</a:t>
            </a:r>
          </a:p>
        </c:rich>
      </c:tx>
      <c:overlay val="0"/>
      <c:spPr>
        <a:noFill/>
        <a:ln>
          <a:noFill/>
        </a:ln>
        <a:effectLst/>
      </c:spPr>
      <c:txPr>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endParaRPr lang="es-CO"/>
        </a:p>
      </c:txPr>
    </c:title>
    <c:autoTitleDeleted val="0"/>
    <c:plotArea>
      <c:layout/>
      <c:lineChart>
        <c:grouping val="standard"/>
        <c:varyColors val="0"/>
        <c:ser>
          <c:idx val="0"/>
          <c:order val="0"/>
          <c:tx>
            <c:strRef>
              <c:f>'Calidad PTAR'!$B$69</c:f>
              <c:strCache>
                <c:ptCount val="1"/>
                <c:pt idx="0">
                  <c:v>Lodos Sedimentables en Tanque Reactor No. 2</c:v>
                </c:pt>
              </c:strCache>
            </c:strRef>
          </c:tx>
          <c:spPr>
            <a:ln w="38100" cap="rnd">
              <a:solidFill>
                <a:schemeClr val="accent1"/>
              </a:solidFill>
              <a:round/>
            </a:ln>
            <a:effectLst/>
          </c:spPr>
          <c:marker>
            <c:symbol val="none"/>
          </c:marker>
          <c:cat>
            <c:strRef>
              <c:f>'Calidad PTAR'!$C$68:$M$68</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PTAR'!$C$69:$M$69</c:f>
              <c:numCache>
                <c:formatCode>0</c:formatCode>
                <c:ptCount val="11"/>
                <c:pt idx="0">
                  <c:v>140</c:v>
                </c:pt>
                <c:pt idx="1">
                  <c:v>150</c:v>
                </c:pt>
                <c:pt idx="2">
                  <c:v>130</c:v>
                </c:pt>
                <c:pt idx="3">
                  <c:v>135</c:v>
                </c:pt>
                <c:pt idx="4">
                  <c:v>180</c:v>
                </c:pt>
                <c:pt idx="5">
                  <c:v>160</c:v>
                </c:pt>
                <c:pt idx="6">
                  <c:v>150</c:v>
                </c:pt>
                <c:pt idx="7">
                  <c:v>170</c:v>
                </c:pt>
                <c:pt idx="8">
                  <c:v>160</c:v>
                </c:pt>
                <c:pt idx="9">
                  <c:v>0</c:v>
                </c:pt>
                <c:pt idx="10">
                  <c:v>0</c:v>
                </c:pt>
              </c:numCache>
            </c:numRef>
          </c:val>
          <c:smooth val="0"/>
          <c:extLst>
            <c:ext xmlns:c16="http://schemas.microsoft.com/office/drawing/2014/chart" uri="{C3380CC4-5D6E-409C-BE32-E72D297353CC}">
              <c16:uniqueId val="{00000000-ACC3-43E9-BDDC-0AEC5791B6DA}"/>
            </c:ext>
          </c:extLst>
        </c:ser>
        <c:ser>
          <c:idx val="1"/>
          <c:order val="1"/>
          <c:tx>
            <c:strRef>
              <c:f>'Calidad PTAR'!$B$70</c:f>
              <c:strCache>
                <c:ptCount val="1"/>
                <c:pt idx="0">
                  <c:v>Meta Lodos</c:v>
                </c:pt>
              </c:strCache>
            </c:strRef>
          </c:tx>
          <c:spPr>
            <a:ln w="38100" cap="rnd">
              <a:solidFill>
                <a:schemeClr val="accent2"/>
              </a:solidFill>
              <a:round/>
            </a:ln>
            <a:effectLst/>
          </c:spPr>
          <c:marker>
            <c:symbol val="none"/>
          </c:marker>
          <c:cat>
            <c:strRef>
              <c:f>'Calidad PTAR'!$C$68:$M$68</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PTAR'!$C$70:$M$70</c:f>
              <c:numCache>
                <c:formatCode>General</c:formatCode>
                <c:ptCount val="11"/>
                <c:pt idx="0">
                  <c:v>200</c:v>
                </c:pt>
                <c:pt idx="1">
                  <c:v>200</c:v>
                </c:pt>
                <c:pt idx="2">
                  <c:v>200</c:v>
                </c:pt>
                <c:pt idx="3">
                  <c:v>200</c:v>
                </c:pt>
                <c:pt idx="4">
                  <c:v>200</c:v>
                </c:pt>
                <c:pt idx="5">
                  <c:v>200</c:v>
                </c:pt>
                <c:pt idx="6">
                  <c:v>200</c:v>
                </c:pt>
                <c:pt idx="7">
                  <c:v>200</c:v>
                </c:pt>
                <c:pt idx="8">
                  <c:v>200</c:v>
                </c:pt>
                <c:pt idx="9">
                  <c:v>200</c:v>
                </c:pt>
                <c:pt idx="10">
                  <c:v>200</c:v>
                </c:pt>
              </c:numCache>
            </c:numRef>
          </c:val>
          <c:smooth val="0"/>
          <c:extLst>
            <c:ext xmlns:c16="http://schemas.microsoft.com/office/drawing/2014/chart" uri="{C3380CC4-5D6E-409C-BE32-E72D297353CC}">
              <c16:uniqueId val="{00000001-ACC3-43E9-BDDC-0AEC5791B6DA}"/>
            </c:ext>
          </c:extLst>
        </c:ser>
        <c:dLbls>
          <c:showLegendKey val="0"/>
          <c:showVal val="0"/>
          <c:showCatName val="0"/>
          <c:showSerName val="0"/>
          <c:showPercent val="0"/>
          <c:showBubbleSize val="0"/>
        </c:dLbls>
        <c:smooth val="0"/>
        <c:axId val="210244320"/>
        <c:axId val="2090451792"/>
      </c:lineChart>
      <c:catAx>
        <c:axId val="210244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2090451792"/>
        <c:crosses val="autoZero"/>
        <c:auto val="1"/>
        <c:lblAlgn val="ctr"/>
        <c:lblOffset val="100"/>
        <c:noMultiLvlLbl val="0"/>
      </c:catAx>
      <c:valAx>
        <c:axId val="209045179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02443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dk1"/>
                </a:solidFill>
                <a:latin typeface="+mn-lt"/>
                <a:ea typeface="+mn-ea"/>
                <a:cs typeface="+mn-cs"/>
              </a:defRPr>
            </a:pPr>
            <a:r>
              <a:rPr lang="es-CO"/>
              <a:t>Calidad ptar</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dk1"/>
              </a:solidFill>
              <a:latin typeface="+mn-lt"/>
              <a:ea typeface="+mn-ea"/>
              <a:cs typeface="+mn-cs"/>
            </a:defRPr>
          </a:pPr>
          <a:endParaRPr lang="es-CO"/>
        </a:p>
      </c:txPr>
    </c:title>
    <c:autoTitleDeleted val="0"/>
    <c:plotArea>
      <c:layout/>
      <c:lineChart>
        <c:grouping val="standard"/>
        <c:varyColors val="0"/>
        <c:ser>
          <c:idx val="0"/>
          <c:order val="0"/>
          <c:tx>
            <c:strRef>
              <c:f>'Calidad PTAR'!$B$76</c:f>
              <c:strCache>
                <c:ptCount val="1"/>
                <c:pt idx="0">
                  <c:v>Cantidad de parámetros cumplidos</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cat>
            <c:strRef>
              <c:f>'Calidad PTAR'!$C$75:$M$75</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PTAR'!$C$76:$M$76</c:f>
              <c:numCache>
                <c:formatCode>0%</c:formatCode>
                <c:ptCount val="11"/>
                <c:pt idx="0">
                  <c:v>1</c:v>
                </c:pt>
                <c:pt idx="1">
                  <c:v>1</c:v>
                </c:pt>
                <c:pt idx="2">
                  <c:v>1</c:v>
                </c:pt>
                <c:pt idx="3">
                  <c:v>1</c:v>
                </c:pt>
                <c:pt idx="4">
                  <c:v>1</c:v>
                </c:pt>
                <c:pt idx="5">
                  <c:v>1</c:v>
                </c:pt>
                <c:pt idx="6">
                  <c:v>1</c:v>
                </c:pt>
                <c:pt idx="7">
                  <c:v>1</c:v>
                </c:pt>
                <c:pt idx="8">
                  <c:v>1</c:v>
                </c:pt>
                <c:pt idx="9">
                  <c:v>0</c:v>
                </c:pt>
                <c:pt idx="10">
                  <c:v>0</c:v>
                </c:pt>
              </c:numCache>
            </c:numRef>
          </c:val>
          <c:smooth val="0"/>
          <c:extLst>
            <c:ext xmlns:c16="http://schemas.microsoft.com/office/drawing/2014/chart" uri="{C3380CC4-5D6E-409C-BE32-E72D297353CC}">
              <c16:uniqueId val="{00000000-B443-4777-BFB0-A2BB3A312658}"/>
            </c:ext>
          </c:extLst>
        </c:ser>
        <c:ser>
          <c:idx val="1"/>
          <c:order val="1"/>
          <c:tx>
            <c:strRef>
              <c:f>'Calidad PTAR'!$B$77</c:f>
              <c:strCache>
                <c:ptCount val="1"/>
                <c:pt idx="0">
                  <c:v>Meta</c:v>
                </c:pt>
              </c:strCache>
            </c:strRef>
          </c:tx>
          <c:spPr>
            <a:ln w="22225" cap="rnd">
              <a:solidFill>
                <a:schemeClr val="accent2"/>
              </a:solidFill>
              <a:round/>
            </a:ln>
            <a:effectLst/>
          </c:spPr>
          <c:marker>
            <c:symbol val="square"/>
            <c:size val="6"/>
            <c:spPr>
              <a:solidFill>
                <a:schemeClr val="accent2"/>
              </a:solidFill>
              <a:ln w="9525">
                <a:solidFill>
                  <a:schemeClr val="accent2"/>
                </a:solidFill>
                <a:round/>
              </a:ln>
              <a:effectLst/>
            </c:spPr>
          </c:marker>
          <c:cat>
            <c:strRef>
              <c:f>'Calidad PTAR'!$C$75:$M$75</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PTAR'!$C$77:$M$77</c:f>
              <c:numCache>
                <c:formatCode>0%</c:formatCode>
                <c:ptCount val="11"/>
                <c:pt idx="0">
                  <c:v>1</c:v>
                </c:pt>
                <c:pt idx="1">
                  <c:v>1</c:v>
                </c:pt>
                <c:pt idx="2">
                  <c:v>1</c:v>
                </c:pt>
                <c:pt idx="3">
                  <c:v>1</c:v>
                </c:pt>
                <c:pt idx="4">
                  <c:v>1</c:v>
                </c:pt>
                <c:pt idx="5">
                  <c:v>1</c:v>
                </c:pt>
                <c:pt idx="6">
                  <c:v>1</c:v>
                </c:pt>
                <c:pt idx="7">
                  <c:v>1</c:v>
                </c:pt>
                <c:pt idx="8">
                  <c:v>1</c:v>
                </c:pt>
                <c:pt idx="9">
                  <c:v>1</c:v>
                </c:pt>
                <c:pt idx="10">
                  <c:v>1</c:v>
                </c:pt>
              </c:numCache>
            </c:numRef>
          </c:val>
          <c:smooth val="0"/>
          <c:extLst>
            <c:ext xmlns:c16="http://schemas.microsoft.com/office/drawing/2014/chart" uri="{C3380CC4-5D6E-409C-BE32-E72D297353CC}">
              <c16:uniqueId val="{00000001-B443-4777-BFB0-A2BB3A312658}"/>
            </c:ext>
          </c:extLst>
        </c:ser>
        <c:dLbls>
          <c:showLegendKey val="0"/>
          <c:showVal val="0"/>
          <c:showCatName val="0"/>
          <c:showSerName val="0"/>
          <c:showPercent val="0"/>
          <c:showBubbleSize val="0"/>
        </c:dLbls>
        <c:marker val="1"/>
        <c:smooth val="0"/>
        <c:axId val="2091155232"/>
        <c:axId val="2090455120"/>
      </c:lineChart>
      <c:catAx>
        <c:axId val="20911552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dk1"/>
                </a:solidFill>
                <a:latin typeface="+mn-lt"/>
                <a:ea typeface="+mn-ea"/>
                <a:cs typeface="+mn-cs"/>
              </a:defRPr>
            </a:pPr>
            <a:endParaRPr lang="es-CO"/>
          </a:p>
        </c:txPr>
        <c:crossAx val="2090455120"/>
        <c:crosses val="autoZero"/>
        <c:auto val="1"/>
        <c:lblAlgn val="ctr"/>
        <c:lblOffset val="100"/>
        <c:noMultiLvlLbl val="0"/>
      </c:catAx>
      <c:valAx>
        <c:axId val="2090455120"/>
        <c:scaling>
          <c:orientation val="minMax"/>
        </c:scaling>
        <c:delete val="0"/>
        <c:axPos val="l"/>
        <c:numFmt formatCode="0%"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20911552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s-CO" sz="1800" b="1">
                <a:solidFill>
                  <a:schemeClr val="tx1"/>
                </a:solidFill>
              </a:rPr>
              <a:t>pH</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s-CO"/>
        </a:p>
      </c:txPr>
    </c:title>
    <c:autoTitleDeleted val="0"/>
    <c:plotArea>
      <c:layout/>
      <c:lineChart>
        <c:grouping val="standard"/>
        <c:varyColors val="0"/>
        <c:ser>
          <c:idx val="0"/>
          <c:order val="0"/>
          <c:tx>
            <c:strRef>
              <c:f>'Calidad PTAR'!$B$72</c:f>
              <c:strCache>
                <c:ptCount val="1"/>
                <c:pt idx="0">
                  <c:v>Ph</c:v>
                </c:pt>
              </c:strCache>
            </c:strRef>
          </c:tx>
          <c:spPr>
            <a:ln w="28575" cap="rnd">
              <a:solidFill>
                <a:schemeClr val="accent1"/>
              </a:solidFill>
              <a:round/>
            </a:ln>
            <a:effectLst/>
          </c:spPr>
          <c:marker>
            <c:symbol val="none"/>
          </c:marker>
          <c:cat>
            <c:strRef>
              <c:f>'Calidad PTAR'!$C$71:$M$71</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PTAR'!$C$72:$M$72</c:f>
              <c:numCache>
                <c:formatCode>0.00</c:formatCode>
                <c:ptCount val="11"/>
                <c:pt idx="0">
                  <c:v>6.8</c:v>
                </c:pt>
                <c:pt idx="1">
                  <c:v>6.7</c:v>
                </c:pt>
                <c:pt idx="2">
                  <c:v>6.9</c:v>
                </c:pt>
                <c:pt idx="3">
                  <c:v>6.9</c:v>
                </c:pt>
                <c:pt idx="4">
                  <c:v>7.1</c:v>
                </c:pt>
                <c:pt idx="5">
                  <c:v>6.8</c:v>
                </c:pt>
                <c:pt idx="6">
                  <c:v>6.8</c:v>
                </c:pt>
                <c:pt idx="7">
                  <c:v>6.7</c:v>
                </c:pt>
                <c:pt idx="8">
                  <c:v>6.7</c:v>
                </c:pt>
                <c:pt idx="9">
                  <c:v>0</c:v>
                </c:pt>
                <c:pt idx="10">
                  <c:v>0</c:v>
                </c:pt>
              </c:numCache>
            </c:numRef>
          </c:val>
          <c:smooth val="0"/>
          <c:extLst>
            <c:ext xmlns:c16="http://schemas.microsoft.com/office/drawing/2014/chart" uri="{C3380CC4-5D6E-409C-BE32-E72D297353CC}">
              <c16:uniqueId val="{00000000-852C-4976-BF3D-F2EEE35A070E}"/>
            </c:ext>
          </c:extLst>
        </c:ser>
        <c:ser>
          <c:idx val="1"/>
          <c:order val="1"/>
          <c:tx>
            <c:strRef>
              <c:f>'Calidad PTAR'!$B$73</c:f>
              <c:strCache>
                <c:ptCount val="1"/>
                <c:pt idx="0">
                  <c:v>Meta Min</c:v>
                </c:pt>
              </c:strCache>
            </c:strRef>
          </c:tx>
          <c:spPr>
            <a:ln w="28575" cap="rnd">
              <a:solidFill>
                <a:schemeClr val="accent2"/>
              </a:solidFill>
              <a:round/>
            </a:ln>
            <a:effectLst/>
          </c:spPr>
          <c:marker>
            <c:symbol val="none"/>
          </c:marker>
          <c:cat>
            <c:strRef>
              <c:f>'Calidad PTAR'!$C$71:$M$71</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PTAR'!$C$73:$M$73</c:f>
              <c:numCache>
                <c:formatCode>General</c:formatCode>
                <c:ptCount val="11"/>
                <c:pt idx="0">
                  <c:v>6.5</c:v>
                </c:pt>
                <c:pt idx="1">
                  <c:v>6.5</c:v>
                </c:pt>
                <c:pt idx="2">
                  <c:v>6.5</c:v>
                </c:pt>
                <c:pt idx="3">
                  <c:v>6.5</c:v>
                </c:pt>
                <c:pt idx="4">
                  <c:v>6.5</c:v>
                </c:pt>
                <c:pt idx="5">
                  <c:v>6.5</c:v>
                </c:pt>
                <c:pt idx="6">
                  <c:v>6.5</c:v>
                </c:pt>
                <c:pt idx="7">
                  <c:v>6.5</c:v>
                </c:pt>
                <c:pt idx="8">
                  <c:v>6.5</c:v>
                </c:pt>
                <c:pt idx="9">
                  <c:v>6.5</c:v>
                </c:pt>
                <c:pt idx="10">
                  <c:v>6.5</c:v>
                </c:pt>
              </c:numCache>
            </c:numRef>
          </c:val>
          <c:smooth val="0"/>
          <c:extLst>
            <c:ext xmlns:c16="http://schemas.microsoft.com/office/drawing/2014/chart" uri="{C3380CC4-5D6E-409C-BE32-E72D297353CC}">
              <c16:uniqueId val="{00000001-852C-4976-BF3D-F2EEE35A070E}"/>
            </c:ext>
          </c:extLst>
        </c:ser>
        <c:ser>
          <c:idx val="2"/>
          <c:order val="2"/>
          <c:tx>
            <c:strRef>
              <c:f>'Calidad PTAR'!$B$74</c:f>
              <c:strCache>
                <c:ptCount val="1"/>
                <c:pt idx="0">
                  <c:v>Meta Max</c:v>
                </c:pt>
              </c:strCache>
            </c:strRef>
          </c:tx>
          <c:spPr>
            <a:ln w="28575" cap="rnd">
              <a:solidFill>
                <a:schemeClr val="accent3"/>
              </a:solidFill>
              <a:round/>
            </a:ln>
            <a:effectLst/>
          </c:spPr>
          <c:marker>
            <c:symbol val="none"/>
          </c:marker>
          <c:cat>
            <c:strRef>
              <c:f>'Calidad PTAR'!$C$71:$M$71</c:f>
              <c:strCache>
                <c:ptCount val="11"/>
                <c:pt idx="0">
                  <c:v>Ene</c:v>
                </c:pt>
                <c:pt idx="1">
                  <c:v>Feb</c:v>
                </c:pt>
                <c:pt idx="2">
                  <c:v>Mar</c:v>
                </c:pt>
                <c:pt idx="3">
                  <c:v>Abril</c:v>
                </c:pt>
                <c:pt idx="4">
                  <c:v>May</c:v>
                </c:pt>
                <c:pt idx="5">
                  <c:v>Jun</c:v>
                </c:pt>
                <c:pt idx="6">
                  <c:v>Jul</c:v>
                </c:pt>
                <c:pt idx="7">
                  <c:v>Ago</c:v>
                </c:pt>
                <c:pt idx="8">
                  <c:v>Sep</c:v>
                </c:pt>
                <c:pt idx="9">
                  <c:v>Oct</c:v>
                </c:pt>
                <c:pt idx="10">
                  <c:v>Nov</c:v>
                </c:pt>
              </c:strCache>
            </c:strRef>
          </c:cat>
          <c:val>
            <c:numRef>
              <c:f>'Calidad PTAR'!$C$74:$M$74</c:f>
              <c:numCache>
                <c:formatCode>General</c:formatCode>
                <c:ptCount val="11"/>
                <c:pt idx="0">
                  <c:v>9</c:v>
                </c:pt>
                <c:pt idx="1">
                  <c:v>9</c:v>
                </c:pt>
                <c:pt idx="2">
                  <c:v>9</c:v>
                </c:pt>
                <c:pt idx="3">
                  <c:v>9</c:v>
                </c:pt>
                <c:pt idx="4">
                  <c:v>9</c:v>
                </c:pt>
                <c:pt idx="5">
                  <c:v>9</c:v>
                </c:pt>
                <c:pt idx="6">
                  <c:v>9</c:v>
                </c:pt>
                <c:pt idx="7">
                  <c:v>9</c:v>
                </c:pt>
                <c:pt idx="8">
                  <c:v>9</c:v>
                </c:pt>
                <c:pt idx="9">
                  <c:v>9</c:v>
                </c:pt>
                <c:pt idx="10">
                  <c:v>9</c:v>
                </c:pt>
              </c:numCache>
            </c:numRef>
          </c:val>
          <c:smooth val="0"/>
          <c:extLst>
            <c:ext xmlns:c16="http://schemas.microsoft.com/office/drawing/2014/chart" uri="{C3380CC4-5D6E-409C-BE32-E72D297353CC}">
              <c16:uniqueId val="{00000002-852C-4976-BF3D-F2EEE35A070E}"/>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2028594687"/>
        <c:axId val="2029291647"/>
      </c:lineChart>
      <c:catAx>
        <c:axId val="2028594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9291647"/>
        <c:crosses val="autoZero"/>
        <c:auto val="1"/>
        <c:lblAlgn val="ctr"/>
        <c:lblOffset val="100"/>
        <c:noMultiLvlLbl val="0"/>
      </c:catAx>
      <c:valAx>
        <c:axId val="202929164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85946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s-CO" b="1">
                <a:solidFill>
                  <a:schemeClr val="tx1"/>
                </a:solidFill>
              </a:rPr>
              <a:t>Oxígeno Disuelto en Tanque de Contacto</a:t>
            </a:r>
          </a:p>
        </c:rich>
      </c:tx>
      <c:overlay val="0"/>
      <c:spPr>
        <a:noFill/>
        <a:ln>
          <a:noFill/>
        </a:ln>
        <a:effectLst/>
      </c:spPr>
      <c:txPr>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endParaRPr lang="es-CO"/>
        </a:p>
      </c:txPr>
    </c:title>
    <c:autoTitleDeleted val="0"/>
    <c:plotArea>
      <c:layout/>
      <c:lineChart>
        <c:grouping val="standard"/>
        <c:varyColors val="0"/>
        <c:ser>
          <c:idx val="0"/>
          <c:order val="0"/>
          <c:tx>
            <c:strRef>
              <c:f>'Calidad PTAR'!$B$66</c:f>
              <c:strCache>
                <c:ptCount val="1"/>
                <c:pt idx="0">
                  <c:v>Oxígeno Disuelto en Tanque de Contacto</c:v>
                </c:pt>
              </c:strCache>
            </c:strRef>
          </c:tx>
          <c:spPr>
            <a:ln w="38100" cap="rnd">
              <a:solidFill>
                <a:schemeClr val="accent1"/>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PTAR'!$C$66:$N$66</c:f>
              <c:numCache>
                <c:formatCode>0.00</c:formatCode>
                <c:ptCount val="12"/>
                <c:pt idx="0">
                  <c:v>4.0999999999999996</c:v>
                </c:pt>
                <c:pt idx="1">
                  <c:v>3.9</c:v>
                </c:pt>
                <c:pt idx="2">
                  <c:v>3.8</c:v>
                </c:pt>
                <c:pt idx="3">
                  <c:v>3.7</c:v>
                </c:pt>
                <c:pt idx="4">
                  <c:v>3.8</c:v>
                </c:pt>
                <c:pt idx="5">
                  <c:v>4</c:v>
                </c:pt>
                <c:pt idx="6">
                  <c:v>3.6</c:v>
                </c:pt>
                <c:pt idx="7">
                  <c:v>3.8</c:v>
                </c:pt>
                <c:pt idx="8">
                  <c:v>3.7</c:v>
                </c:pt>
                <c:pt idx="9">
                  <c:v>0</c:v>
                </c:pt>
                <c:pt idx="10">
                  <c:v>0</c:v>
                </c:pt>
                <c:pt idx="11">
                  <c:v>0</c:v>
                </c:pt>
              </c:numCache>
            </c:numRef>
          </c:val>
          <c:smooth val="0"/>
          <c:extLst>
            <c:ext xmlns:c16="http://schemas.microsoft.com/office/drawing/2014/chart" uri="{C3380CC4-5D6E-409C-BE32-E72D297353CC}">
              <c16:uniqueId val="{00000000-DEC1-462E-8609-BACD66A0273B}"/>
            </c:ext>
          </c:extLst>
        </c:ser>
        <c:ser>
          <c:idx val="1"/>
          <c:order val="1"/>
          <c:tx>
            <c:strRef>
              <c:f>'Calidad PTAR'!$B$67</c:f>
              <c:strCache>
                <c:ptCount val="1"/>
                <c:pt idx="0">
                  <c:v>Meta Oxigeno</c:v>
                </c:pt>
              </c:strCache>
            </c:strRef>
          </c:tx>
          <c:spPr>
            <a:ln w="38100" cap="rnd">
              <a:solidFill>
                <a:schemeClr val="accent2"/>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PTAR'!$C$67:$N$67</c:f>
              <c:numCache>
                <c:formatCode>General</c:formatCode>
                <c:ptCount val="12"/>
                <c:pt idx="0">
                  <c:v>6</c:v>
                </c:pt>
                <c:pt idx="1">
                  <c:v>6</c:v>
                </c:pt>
                <c:pt idx="2">
                  <c:v>6</c:v>
                </c:pt>
                <c:pt idx="3">
                  <c:v>6</c:v>
                </c:pt>
                <c:pt idx="4">
                  <c:v>6</c:v>
                </c:pt>
                <c:pt idx="5">
                  <c:v>6</c:v>
                </c:pt>
                <c:pt idx="6">
                  <c:v>6</c:v>
                </c:pt>
                <c:pt idx="7">
                  <c:v>6</c:v>
                </c:pt>
                <c:pt idx="8">
                  <c:v>6</c:v>
                </c:pt>
                <c:pt idx="9">
                  <c:v>6</c:v>
                </c:pt>
                <c:pt idx="10">
                  <c:v>6</c:v>
                </c:pt>
                <c:pt idx="11">
                  <c:v>6</c:v>
                </c:pt>
              </c:numCache>
            </c:numRef>
          </c:val>
          <c:smooth val="0"/>
          <c:extLst>
            <c:ext xmlns:c16="http://schemas.microsoft.com/office/drawing/2014/chart" uri="{C3380CC4-5D6E-409C-BE32-E72D297353CC}">
              <c16:uniqueId val="{00000001-DEC1-462E-8609-BACD66A0273B}"/>
            </c:ext>
          </c:extLst>
        </c:ser>
        <c:dLbls>
          <c:showLegendKey val="0"/>
          <c:showVal val="0"/>
          <c:showCatName val="0"/>
          <c:showSerName val="0"/>
          <c:showPercent val="0"/>
          <c:showBubbleSize val="0"/>
        </c:dLbls>
        <c:smooth val="0"/>
        <c:axId val="16934096"/>
        <c:axId val="206989008"/>
      </c:lineChart>
      <c:catAx>
        <c:axId val="1693409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206989008"/>
        <c:crosses val="autoZero"/>
        <c:auto val="1"/>
        <c:lblAlgn val="ctr"/>
        <c:lblOffset val="100"/>
        <c:noMultiLvlLbl val="0"/>
      </c:catAx>
      <c:valAx>
        <c:axId val="2069890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6934096"/>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r>
              <a:rPr lang="es-CO" b="1">
                <a:solidFill>
                  <a:schemeClr val="tx1"/>
                </a:solidFill>
              </a:rPr>
              <a:t>Lodos Sedimentables en Tanque Reactor No. 2</a:t>
            </a:r>
          </a:p>
        </c:rich>
      </c:tx>
      <c:overlay val="0"/>
      <c:spPr>
        <a:noFill/>
        <a:ln>
          <a:noFill/>
        </a:ln>
        <a:effectLst/>
      </c:spPr>
      <c:txPr>
        <a:bodyPr rot="0" spcFirstLastPara="1" vertOverflow="ellipsis" vert="horz" wrap="square" anchor="ctr" anchorCtr="1"/>
        <a:lstStyle/>
        <a:p>
          <a:pPr>
            <a:defRPr sz="2000" b="0" i="0" u="none" strike="noStrike" kern="1200" cap="none" spc="0" normalizeH="0" baseline="0">
              <a:solidFill>
                <a:schemeClr val="tx1">
                  <a:lumMod val="65000"/>
                  <a:lumOff val="35000"/>
                </a:schemeClr>
              </a:solidFill>
              <a:latin typeface="+mj-lt"/>
              <a:ea typeface="+mj-ea"/>
              <a:cs typeface="+mj-cs"/>
            </a:defRPr>
          </a:pPr>
          <a:endParaRPr lang="es-CO"/>
        </a:p>
      </c:txPr>
    </c:title>
    <c:autoTitleDeleted val="0"/>
    <c:plotArea>
      <c:layout/>
      <c:lineChart>
        <c:grouping val="standard"/>
        <c:varyColors val="0"/>
        <c:ser>
          <c:idx val="0"/>
          <c:order val="0"/>
          <c:tx>
            <c:strRef>
              <c:f>'Calidad PTAR'!$B$69</c:f>
              <c:strCache>
                <c:ptCount val="1"/>
                <c:pt idx="0">
                  <c:v>Lodos Sedimentables en Tanque Reactor No. 2</c:v>
                </c:pt>
              </c:strCache>
            </c:strRef>
          </c:tx>
          <c:spPr>
            <a:ln w="38100" cap="rnd">
              <a:solidFill>
                <a:schemeClr val="accent1"/>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PTAR'!$C$69:$N$69</c:f>
              <c:numCache>
                <c:formatCode>0</c:formatCode>
                <c:ptCount val="12"/>
                <c:pt idx="0">
                  <c:v>140</c:v>
                </c:pt>
                <c:pt idx="1">
                  <c:v>150</c:v>
                </c:pt>
                <c:pt idx="2">
                  <c:v>130</c:v>
                </c:pt>
                <c:pt idx="3">
                  <c:v>135</c:v>
                </c:pt>
                <c:pt idx="4">
                  <c:v>180</c:v>
                </c:pt>
                <c:pt idx="5">
                  <c:v>160</c:v>
                </c:pt>
                <c:pt idx="6">
                  <c:v>150</c:v>
                </c:pt>
                <c:pt idx="7">
                  <c:v>170</c:v>
                </c:pt>
                <c:pt idx="8">
                  <c:v>160</c:v>
                </c:pt>
                <c:pt idx="9">
                  <c:v>0</c:v>
                </c:pt>
                <c:pt idx="10">
                  <c:v>0</c:v>
                </c:pt>
                <c:pt idx="11">
                  <c:v>0</c:v>
                </c:pt>
              </c:numCache>
            </c:numRef>
          </c:val>
          <c:smooth val="0"/>
          <c:extLst>
            <c:ext xmlns:c16="http://schemas.microsoft.com/office/drawing/2014/chart" uri="{C3380CC4-5D6E-409C-BE32-E72D297353CC}">
              <c16:uniqueId val="{00000000-9AD4-427E-98E4-26E77BC76A42}"/>
            </c:ext>
          </c:extLst>
        </c:ser>
        <c:ser>
          <c:idx val="1"/>
          <c:order val="1"/>
          <c:tx>
            <c:strRef>
              <c:f>'Calidad PTAR'!$B$70</c:f>
              <c:strCache>
                <c:ptCount val="1"/>
                <c:pt idx="0">
                  <c:v>Meta Lodos</c:v>
                </c:pt>
              </c:strCache>
            </c:strRef>
          </c:tx>
          <c:spPr>
            <a:ln w="38100" cap="rnd">
              <a:solidFill>
                <a:schemeClr val="accent2"/>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PTAR'!$C$70:$N$70</c:f>
              <c:numCache>
                <c:formatCode>General</c:formatCode>
                <c:ptCount val="12"/>
                <c:pt idx="0">
                  <c:v>200</c:v>
                </c:pt>
                <c:pt idx="1">
                  <c:v>200</c:v>
                </c:pt>
                <c:pt idx="2">
                  <c:v>200</c:v>
                </c:pt>
                <c:pt idx="3">
                  <c:v>200</c:v>
                </c:pt>
                <c:pt idx="4">
                  <c:v>200</c:v>
                </c:pt>
                <c:pt idx="5">
                  <c:v>200</c:v>
                </c:pt>
                <c:pt idx="6">
                  <c:v>200</c:v>
                </c:pt>
                <c:pt idx="7">
                  <c:v>200</c:v>
                </c:pt>
                <c:pt idx="8">
                  <c:v>200</c:v>
                </c:pt>
                <c:pt idx="9">
                  <c:v>200</c:v>
                </c:pt>
                <c:pt idx="10">
                  <c:v>200</c:v>
                </c:pt>
                <c:pt idx="11">
                  <c:v>200</c:v>
                </c:pt>
              </c:numCache>
            </c:numRef>
          </c:val>
          <c:smooth val="0"/>
          <c:extLst>
            <c:ext xmlns:c16="http://schemas.microsoft.com/office/drawing/2014/chart" uri="{C3380CC4-5D6E-409C-BE32-E72D297353CC}">
              <c16:uniqueId val="{00000001-9AD4-427E-98E4-26E77BC76A42}"/>
            </c:ext>
          </c:extLst>
        </c:ser>
        <c:dLbls>
          <c:showLegendKey val="0"/>
          <c:showVal val="0"/>
          <c:showCatName val="0"/>
          <c:showSerName val="0"/>
          <c:showPercent val="0"/>
          <c:showBubbleSize val="0"/>
        </c:dLbls>
        <c:smooth val="0"/>
        <c:axId val="210244320"/>
        <c:axId val="2090451792"/>
      </c:lineChart>
      <c:catAx>
        <c:axId val="2102443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s-CO"/>
          </a:p>
        </c:txPr>
        <c:crossAx val="2090451792"/>
        <c:crosses val="autoZero"/>
        <c:auto val="1"/>
        <c:lblAlgn val="ctr"/>
        <c:lblOffset val="100"/>
        <c:noMultiLvlLbl val="0"/>
      </c:catAx>
      <c:valAx>
        <c:axId val="209045179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10244320"/>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cap="all" spc="120" normalizeH="0" baseline="0">
                <a:solidFill>
                  <a:schemeClr val="dk1"/>
                </a:solidFill>
                <a:latin typeface="+mn-lt"/>
                <a:ea typeface="+mn-ea"/>
                <a:cs typeface="+mn-cs"/>
              </a:defRPr>
            </a:pPr>
            <a:r>
              <a:rPr lang="es-CO"/>
              <a:t>Calidad ptar</a:t>
            </a:r>
          </a:p>
        </c:rich>
      </c:tx>
      <c:overlay val="0"/>
      <c:spPr>
        <a:noFill/>
        <a:ln>
          <a:noFill/>
        </a:ln>
        <a:effectLst/>
      </c:spPr>
      <c:txPr>
        <a:bodyPr rot="0" spcFirstLastPara="1" vertOverflow="ellipsis" vert="horz" wrap="square" anchor="ctr" anchorCtr="1"/>
        <a:lstStyle/>
        <a:p>
          <a:pPr>
            <a:defRPr sz="1600" b="1" i="0" u="none" strike="noStrike" kern="1200" cap="all" spc="120" normalizeH="0" baseline="0">
              <a:solidFill>
                <a:schemeClr val="dk1"/>
              </a:solidFill>
              <a:latin typeface="+mn-lt"/>
              <a:ea typeface="+mn-ea"/>
              <a:cs typeface="+mn-cs"/>
            </a:defRPr>
          </a:pPr>
          <a:endParaRPr lang="es-CO"/>
        </a:p>
      </c:txPr>
    </c:title>
    <c:autoTitleDeleted val="0"/>
    <c:plotArea>
      <c:layout/>
      <c:lineChart>
        <c:grouping val="standard"/>
        <c:varyColors val="0"/>
        <c:ser>
          <c:idx val="0"/>
          <c:order val="0"/>
          <c:tx>
            <c:strRef>
              <c:f>'Calidad PTAR'!$B$76</c:f>
              <c:strCache>
                <c:ptCount val="1"/>
                <c:pt idx="0">
                  <c:v>Cantidad de parámetros cumplidos</c:v>
                </c:pt>
              </c:strCache>
            </c:strRef>
          </c:tx>
          <c:spPr>
            <a:ln w="22225" cap="rnd">
              <a:solidFill>
                <a:schemeClr val="accent1"/>
              </a:solidFill>
              <a:round/>
            </a:ln>
            <a:effectLst/>
          </c:spPr>
          <c:marker>
            <c:symbol val="diamond"/>
            <c:size val="6"/>
            <c:spPr>
              <a:solidFill>
                <a:schemeClr val="accent1"/>
              </a:solidFill>
              <a:ln w="9525">
                <a:solidFill>
                  <a:schemeClr val="accent1"/>
                </a:solidFill>
                <a:round/>
              </a:ln>
              <a:effectLst/>
            </c:spPr>
          </c:marker>
          <c:cat>
            <c:strRef>
              <c:f>'Calidad PTAR'!$C$75:$N$75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PTAR'!$C$76:$N$76</c:f>
              <c:numCache>
                <c:formatCode>0%</c:formatCode>
                <c:ptCount val="12"/>
                <c:pt idx="0">
                  <c:v>1</c:v>
                </c:pt>
                <c:pt idx="1">
                  <c:v>1</c:v>
                </c:pt>
                <c:pt idx="2">
                  <c:v>1</c:v>
                </c:pt>
                <c:pt idx="3">
                  <c:v>1</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ABB2-4BD2-BD3E-D48B5C2BE1CD}"/>
            </c:ext>
          </c:extLst>
        </c:ser>
        <c:ser>
          <c:idx val="1"/>
          <c:order val="1"/>
          <c:tx>
            <c:strRef>
              <c:f>'Calidad PTAR'!$B$77</c:f>
              <c:strCache>
                <c:ptCount val="1"/>
                <c:pt idx="0">
                  <c:v>Meta</c:v>
                </c:pt>
              </c:strCache>
            </c:strRef>
          </c:tx>
          <c:spPr>
            <a:ln w="22225" cap="rnd">
              <a:solidFill>
                <a:schemeClr val="accent2"/>
              </a:solidFill>
              <a:round/>
            </a:ln>
            <a:effectLst/>
          </c:spPr>
          <c:marker>
            <c:symbol val="square"/>
            <c:size val="6"/>
            <c:spPr>
              <a:solidFill>
                <a:schemeClr val="accent2"/>
              </a:solidFill>
              <a:ln w="9525">
                <a:solidFill>
                  <a:schemeClr val="accent2"/>
                </a:solidFill>
                <a:round/>
              </a:ln>
              <a:effectLst/>
            </c:spPr>
          </c:marker>
          <c:cat>
            <c:strRef>
              <c:f>'Calidad PTAR'!$C$75:$N$75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PTAR'!$C$77:$N$77</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ABB2-4BD2-BD3E-D48B5C2BE1CD}"/>
            </c:ext>
          </c:extLst>
        </c:ser>
        <c:dLbls>
          <c:showLegendKey val="0"/>
          <c:showVal val="0"/>
          <c:showCatName val="0"/>
          <c:showSerName val="0"/>
          <c:showPercent val="0"/>
          <c:showBubbleSize val="0"/>
        </c:dLbls>
        <c:marker val="1"/>
        <c:smooth val="0"/>
        <c:axId val="2091155232"/>
        <c:axId val="2090455120"/>
      </c:lineChart>
      <c:catAx>
        <c:axId val="20911552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cap="all" spc="120" normalizeH="0" baseline="0">
                <a:solidFill>
                  <a:schemeClr val="dk1"/>
                </a:solidFill>
                <a:latin typeface="+mn-lt"/>
                <a:ea typeface="+mn-ea"/>
                <a:cs typeface="+mn-cs"/>
              </a:defRPr>
            </a:pPr>
            <a:endParaRPr lang="es-CO"/>
          </a:p>
        </c:txPr>
        <c:crossAx val="2090455120"/>
        <c:crosses val="autoZero"/>
        <c:auto val="1"/>
        <c:lblAlgn val="ctr"/>
        <c:lblOffset val="100"/>
        <c:noMultiLvlLbl val="0"/>
      </c:catAx>
      <c:valAx>
        <c:axId val="2090455120"/>
        <c:scaling>
          <c:orientation val="minMax"/>
        </c:scaling>
        <c:delete val="0"/>
        <c:axPos val="l"/>
        <c:numFmt formatCode="0%" sourceLinked="1"/>
        <c:majorTickMark val="none"/>
        <c:minorTickMark val="none"/>
        <c:tickLblPos val="nextTo"/>
        <c:spPr>
          <a:noFill/>
          <a:ln w="9525" cap="flat" cmpd="sng" algn="ctr">
            <a:solidFill>
              <a:schemeClr val="dk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crossAx val="2091155232"/>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dk1"/>
              </a:solidFill>
              <a:latin typeface="+mn-lt"/>
              <a:ea typeface="+mn-ea"/>
              <a:cs typeface="+mn-cs"/>
            </a:defRPr>
          </a:pPr>
          <a:endParaRPr lang="es-CO"/>
        </a:p>
      </c:txPr>
    </c:legend>
    <c:plotVisOnly val="1"/>
    <c:dispBlanksAs val="gap"/>
    <c:showDLblsOverMax val="0"/>
  </c:chart>
  <c:spPr>
    <a:solidFill>
      <a:schemeClr val="lt1"/>
    </a:solidFill>
    <a:ln w="12700" cap="flat" cmpd="sng" algn="ctr">
      <a:solidFill>
        <a:schemeClr val="dk1"/>
      </a:solidFill>
      <a:prstDash val="solid"/>
      <a:miter lim="800000"/>
    </a:ln>
    <a:effectLst/>
  </c:spPr>
  <c:txPr>
    <a:bodyPr/>
    <a:lstStyle/>
    <a:p>
      <a:pPr>
        <a:defRPr>
          <a:solidFill>
            <a:schemeClr val="dk1"/>
          </a:solidFill>
          <a:latin typeface="+mn-lt"/>
          <a:ea typeface="+mn-ea"/>
          <a:cs typeface="+mn-cs"/>
        </a:defRPr>
      </a:pPr>
      <a:endParaRPr lang="es-CO"/>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r>
              <a:rPr lang="es-CO" sz="1800" b="1">
                <a:solidFill>
                  <a:schemeClr val="tx1"/>
                </a:solidFill>
              </a:rPr>
              <a:t>pH</a:t>
            </a:r>
          </a:p>
        </c:rich>
      </c:tx>
      <c:overlay val="0"/>
      <c:spPr>
        <a:noFill/>
        <a:ln>
          <a:noFill/>
        </a:ln>
        <a:effectLst/>
      </c:spPr>
      <c:txPr>
        <a:bodyPr rot="0" spcFirstLastPara="1" vertOverflow="ellipsis" vert="horz" wrap="square" anchor="ctr" anchorCtr="1"/>
        <a:lstStyle/>
        <a:p>
          <a:pPr>
            <a:defRPr sz="1800" b="1" i="0" u="none" strike="noStrike" kern="1200" spc="0" baseline="0">
              <a:solidFill>
                <a:schemeClr val="tx1"/>
              </a:solidFill>
              <a:latin typeface="+mn-lt"/>
              <a:ea typeface="+mn-ea"/>
              <a:cs typeface="+mn-cs"/>
            </a:defRPr>
          </a:pPr>
          <a:endParaRPr lang="es-CO"/>
        </a:p>
      </c:txPr>
    </c:title>
    <c:autoTitleDeleted val="0"/>
    <c:plotArea>
      <c:layout/>
      <c:lineChart>
        <c:grouping val="standard"/>
        <c:varyColors val="0"/>
        <c:ser>
          <c:idx val="0"/>
          <c:order val="0"/>
          <c:tx>
            <c:strRef>
              <c:f>'Calidad PTAR'!$B$72</c:f>
              <c:strCache>
                <c:ptCount val="1"/>
                <c:pt idx="0">
                  <c:v>Ph</c:v>
                </c:pt>
              </c:strCache>
            </c:strRef>
          </c:tx>
          <c:spPr>
            <a:ln w="28575" cap="rnd">
              <a:solidFill>
                <a:schemeClr val="accent1"/>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PTAR'!$C$72:$N$72</c:f>
              <c:numCache>
                <c:formatCode>0.00</c:formatCode>
                <c:ptCount val="12"/>
                <c:pt idx="0">
                  <c:v>6.8</c:v>
                </c:pt>
                <c:pt idx="1">
                  <c:v>6.7</c:v>
                </c:pt>
                <c:pt idx="2">
                  <c:v>6.9</c:v>
                </c:pt>
                <c:pt idx="3">
                  <c:v>6.9</c:v>
                </c:pt>
                <c:pt idx="4">
                  <c:v>7.1</c:v>
                </c:pt>
                <c:pt idx="5">
                  <c:v>6.8</c:v>
                </c:pt>
                <c:pt idx="6">
                  <c:v>6.8</c:v>
                </c:pt>
                <c:pt idx="7">
                  <c:v>6.7</c:v>
                </c:pt>
                <c:pt idx="8">
                  <c:v>6.7</c:v>
                </c:pt>
                <c:pt idx="9">
                  <c:v>0</c:v>
                </c:pt>
                <c:pt idx="10">
                  <c:v>0</c:v>
                </c:pt>
                <c:pt idx="11">
                  <c:v>0</c:v>
                </c:pt>
              </c:numCache>
            </c:numRef>
          </c:val>
          <c:smooth val="0"/>
          <c:extLst>
            <c:ext xmlns:c16="http://schemas.microsoft.com/office/drawing/2014/chart" uri="{C3380CC4-5D6E-409C-BE32-E72D297353CC}">
              <c16:uniqueId val="{00000000-CCE9-4107-9EBB-42DBDAE16D28}"/>
            </c:ext>
          </c:extLst>
        </c:ser>
        <c:ser>
          <c:idx val="1"/>
          <c:order val="1"/>
          <c:tx>
            <c:strRef>
              <c:f>'Calidad PTAR'!$B$73</c:f>
              <c:strCache>
                <c:ptCount val="1"/>
                <c:pt idx="0">
                  <c:v>Meta Min</c:v>
                </c:pt>
              </c:strCache>
            </c:strRef>
          </c:tx>
          <c:spPr>
            <a:ln w="28575" cap="rnd">
              <a:solidFill>
                <a:schemeClr val="accent2"/>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PTAR'!$C$73:$N$73</c:f>
              <c:numCache>
                <c:formatCode>General</c:formatCode>
                <c:ptCount val="12"/>
                <c:pt idx="0">
                  <c:v>6.5</c:v>
                </c:pt>
                <c:pt idx="1">
                  <c:v>6.5</c:v>
                </c:pt>
                <c:pt idx="2">
                  <c:v>6.5</c:v>
                </c:pt>
                <c:pt idx="3">
                  <c:v>6.5</c:v>
                </c:pt>
                <c:pt idx="4">
                  <c:v>6.5</c:v>
                </c:pt>
                <c:pt idx="5">
                  <c:v>6.5</c:v>
                </c:pt>
                <c:pt idx="6">
                  <c:v>6.5</c:v>
                </c:pt>
                <c:pt idx="7">
                  <c:v>6.5</c:v>
                </c:pt>
                <c:pt idx="8">
                  <c:v>6.5</c:v>
                </c:pt>
                <c:pt idx="9">
                  <c:v>6.5</c:v>
                </c:pt>
                <c:pt idx="10">
                  <c:v>6.5</c:v>
                </c:pt>
                <c:pt idx="11">
                  <c:v>6.5</c:v>
                </c:pt>
              </c:numCache>
            </c:numRef>
          </c:val>
          <c:smooth val="0"/>
          <c:extLst>
            <c:ext xmlns:c16="http://schemas.microsoft.com/office/drawing/2014/chart" uri="{C3380CC4-5D6E-409C-BE32-E72D297353CC}">
              <c16:uniqueId val="{00000001-CCE9-4107-9EBB-42DBDAE16D28}"/>
            </c:ext>
          </c:extLst>
        </c:ser>
        <c:ser>
          <c:idx val="2"/>
          <c:order val="2"/>
          <c:tx>
            <c:strRef>
              <c:f>'Calidad PTAR'!$B$74</c:f>
              <c:strCache>
                <c:ptCount val="1"/>
                <c:pt idx="0">
                  <c:v>Meta Max</c:v>
                </c:pt>
              </c:strCache>
            </c:strRef>
          </c:tx>
          <c:spPr>
            <a:ln w="28575" cap="rnd">
              <a:solidFill>
                <a:srgbClr val="00B050"/>
              </a:solidFill>
              <a:round/>
            </a:ln>
            <a:effectLst/>
          </c:spPr>
          <c:marker>
            <c:symbol val="none"/>
          </c:marker>
          <c:cat>
            <c:strRef>
              <c:f>'Calidad PTAR'!$C$65:$N$65</c:f>
              <c:strCache>
                <c:ptCount val="12"/>
                <c:pt idx="0">
                  <c:v>Ene</c:v>
                </c:pt>
                <c:pt idx="1">
                  <c:v>Feb</c:v>
                </c:pt>
                <c:pt idx="2">
                  <c:v>Mar</c:v>
                </c:pt>
                <c:pt idx="3">
                  <c:v>Abril</c:v>
                </c:pt>
                <c:pt idx="4">
                  <c:v>May</c:v>
                </c:pt>
                <c:pt idx="5">
                  <c:v>Jun</c:v>
                </c:pt>
                <c:pt idx="6">
                  <c:v>Jul</c:v>
                </c:pt>
                <c:pt idx="7">
                  <c:v>Ago</c:v>
                </c:pt>
                <c:pt idx="8">
                  <c:v>Sep</c:v>
                </c:pt>
                <c:pt idx="9">
                  <c:v>Oct</c:v>
                </c:pt>
                <c:pt idx="10">
                  <c:v>Nov</c:v>
                </c:pt>
                <c:pt idx="11">
                  <c:v>Dic</c:v>
                </c:pt>
              </c:strCache>
            </c:strRef>
          </c:cat>
          <c:val>
            <c:numRef>
              <c:f>'Calidad PTAR'!$C$74:$N$74</c:f>
              <c:numCache>
                <c:formatCode>General</c:formatCode>
                <c:ptCount val="12"/>
                <c:pt idx="0">
                  <c:v>9</c:v>
                </c:pt>
                <c:pt idx="1">
                  <c:v>9</c:v>
                </c:pt>
                <c:pt idx="2">
                  <c:v>9</c:v>
                </c:pt>
                <c:pt idx="3">
                  <c:v>9</c:v>
                </c:pt>
                <c:pt idx="4">
                  <c:v>9</c:v>
                </c:pt>
                <c:pt idx="5">
                  <c:v>9</c:v>
                </c:pt>
                <c:pt idx="6">
                  <c:v>9</c:v>
                </c:pt>
                <c:pt idx="7">
                  <c:v>9</c:v>
                </c:pt>
                <c:pt idx="8">
                  <c:v>9</c:v>
                </c:pt>
                <c:pt idx="9">
                  <c:v>9</c:v>
                </c:pt>
                <c:pt idx="10">
                  <c:v>9</c:v>
                </c:pt>
                <c:pt idx="11">
                  <c:v>9</c:v>
                </c:pt>
              </c:numCache>
            </c:numRef>
          </c:val>
          <c:smooth val="0"/>
          <c:extLst>
            <c:ext xmlns:c16="http://schemas.microsoft.com/office/drawing/2014/chart" uri="{C3380CC4-5D6E-409C-BE32-E72D297353CC}">
              <c16:uniqueId val="{00000002-CCE9-4107-9EBB-42DBDAE16D28}"/>
            </c:ext>
          </c:extLst>
        </c:ser>
        <c:dLbls>
          <c:showLegendKey val="0"/>
          <c:showVal val="0"/>
          <c:showCatName val="0"/>
          <c:showSerName val="0"/>
          <c:showPercent val="0"/>
          <c:showBubbleSize val="0"/>
        </c:dLbls>
        <c:dropLines>
          <c:spPr>
            <a:ln w="9525" cap="flat" cmpd="sng" algn="ctr">
              <a:solidFill>
                <a:schemeClr val="tx1">
                  <a:lumMod val="35000"/>
                  <a:lumOff val="65000"/>
                </a:schemeClr>
              </a:solidFill>
              <a:round/>
            </a:ln>
            <a:effectLst/>
          </c:spPr>
        </c:dropLines>
        <c:smooth val="0"/>
        <c:axId val="2028594687"/>
        <c:axId val="2029291647"/>
      </c:lineChart>
      <c:catAx>
        <c:axId val="202859468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9291647"/>
        <c:crosses val="autoZero"/>
        <c:auto val="1"/>
        <c:lblAlgn val="ctr"/>
        <c:lblOffset val="100"/>
        <c:noMultiLvlLbl val="0"/>
      </c:catAx>
      <c:valAx>
        <c:axId val="2029291647"/>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28594687"/>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s-CO"/>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Anual'!$C$53</c:f>
              <c:strCache>
                <c:ptCount val="1"/>
                <c:pt idx="0">
                  <c:v>PH</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Anual'!$C$54:$C$56</c:f>
              <c:numCache>
                <c:formatCode>0.00</c:formatCode>
                <c:ptCount val="3"/>
                <c:pt idx="0">
                  <c:v>7.04</c:v>
                </c:pt>
                <c:pt idx="1">
                  <c:v>7.27</c:v>
                </c:pt>
                <c:pt idx="2">
                  <c:v>7.31</c:v>
                </c:pt>
              </c:numCache>
            </c:numRef>
          </c:val>
          <c:extLst>
            <c:ext xmlns:c16="http://schemas.microsoft.com/office/drawing/2014/chart" uri="{C3380CC4-5D6E-409C-BE32-E72D297353CC}">
              <c16:uniqueId val="{00000000-50AC-493D-8F6F-136777DEA512}"/>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Anual'!$D$53</c:f>
              <c:strCache>
                <c:ptCount val="1"/>
                <c:pt idx="0">
                  <c:v>TEMPERATURA</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Anual'!$D$54:$D$56</c:f>
              <c:numCache>
                <c:formatCode>0.00</c:formatCode>
                <c:ptCount val="3"/>
                <c:pt idx="0">
                  <c:v>17.079999999999998</c:v>
                </c:pt>
                <c:pt idx="1">
                  <c:v>17.03</c:v>
                </c:pt>
                <c:pt idx="2">
                  <c:v>17.399999999999999</c:v>
                </c:pt>
              </c:numCache>
            </c:numRef>
          </c:val>
          <c:extLst>
            <c:ext xmlns:c16="http://schemas.microsoft.com/office/drawing/2014/chart" uri="{C3380CC4-5D6E-409C-BE32-E72D297353CC}">
              <c16:uniqueId val="{00000000-C8C6-4B38-8938-C959E70A8B18}"/>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EFICACIA!$B$7:$K$7</c:f>
              <c:numCache>
                <c:formatCode>0%</c:formatCode>
                <c:ptCount val="10"/>
                <c:pt idx="2">
                  <c:v>1</c:v>
                </c:pt>
                <c:pt idx="5">
                  <c:v>0.88768115942028991</c:v>
                </c:pt>
              </c:numCache>
            </c:numRef>
          </c:yVal>
          <c:smooth val="0"/>
          <c:extLst>
            <c:ext xmlns:c16="http://schemas.microsoft.com/office/drawing/2014/chart" uri="{C3380CC4-5D6E-409C-BE32-E72D297353CC}">
              <c16:uniqueId val="{00000001-5D1E-48FB-8510-2CE117D9B7C6}"/>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Anual'!$E$53</c:f>
              <c:strCache>
                <c:ptCount val="1"/>
                <c:pt idx="0">
                  <c:v>SOLIDOS SEDIMENTABLES</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Anual'!$E$54:$E$56</c:f>
              <c:numCache>
                <c:formatCode>0.00</c:formatCode>
                <c:ptCount val="3"/>
                <c:pt idx="0">
                  <c:v>0.01</c:v>
                </c:pt>
                <c:pt idx="1">
                  <c:v>0.01</c:v>
                </c:pt>
                <c:pt idx="2">
                  <c:v>0.1</c:v>
                </c:pt>
              </c:numCache>
            </c:numRef>
          </c:val>
          <c:extLst>
            <c:ext xmlns:c16="http://schemas.microsoft.com/office/drawing/2014/chart" uri="{C3380CC4-5D6E-409C-BE32-E72D297353CC}">
              <c16:uniqueId val="{00000000-D7F6-404D-A161-91CAF785F552}"/>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Anual'!$F$53</c:f>
              <c:strCache>
                <c:ptCount val="1"/>
                <c:pt idx="0">
                  <c:v>CAUDALES</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Anual'!$F$54:$F$56</c:f>
              <c:numCache>
                <c:formatCode>0.00</c:formatCode>
                <c:ptCount val="3"/>
                <c:pt idx="0">
                  <c:v>7.56</c:v>
                </c:pt>
                <c:pt idx="1">
                  <c:v>0</c:v>
                </c:pt>
                <c:pt idx="2">
                  <c:v>10.42</c:v>
                </c:pt>
              </c:numCache>
            </c:numRef>
          </c:val>
          <c:extLst>
            <c:ext xmlns:c16="http://schemas.microsoft.com/office/drawing/2014/chart" uri="{C3380CC4-5D6E-409C-BE32-E72D297353CC}">
              <c16:uniqueId val="{00000000-1710-4675-99E6-BBEFFC135B67}"/>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Anual'!$G$53</c:f>
              <c:strCache>
                <c:ptCount val="1"/>
                <c:pt idx="0">
                  <c:v>DBO</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Anual'!$G$54:$G$56</c:f>
              <c:numCache>
                <c:formatCode>0.00</c:formatCode>
                <c:ptCount val="3"/>
                <c:pt idx="0">
                  <c:v>7.77</c:v>
                </c:pt>
                <c:pt idx="1">
                  <c:v>4.37</c:v>
                </c:pt>
                <c:pt idx="2">
                  <c:v>3.6</c:v>
                </c:pt>
              </c:numCache>
            </c:numRef>
          </c:val>
          <c:extLst>
            <c:ext xmlns:c16="http://schemas.microsoft.com/office/drawing/2014/chart" uri="{C3380CC4-5D6E-409C-BE32-E72D297353CC}">
              <c16:uniqueId val="{00000000-9AAF-4722-AD96-000501BF25BE}"/>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Anual'!$H$53</c:f>
              <c:strCache>
                <c:ptCount val="1"/>
                <c:pt idx="0">
                  <c:v>DQO</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Anual'!$H$54:$H$56</c:f>
              <c:numCache>
                <c:formatCode>0.00</c:formatCode>
                <c:ptCount val="3"/>
                <c:pt idx="0">
                  <c:v>49.82</c:v>
                </c:pt>
                <c:pt idx="1">
                  <c:v>25</c:v>
                </c:pt>
                <c:pt idx="2">
                  <c:v>25</c:v>
                </c:pt>
              </c:numCache>
            </c:numRef>
          </c:val>
          <c:extLst>
            <c:ext xmlns:c16="http://schemas.microsoft.com/office/drawing/2014/chart" uri="{C3380CC4-5D6E-409C-BE32-E72D297353CC}">
              <c16:uniqueId val="{00000000-20A8-4FA1-B63B-8E097D6E84C0}"/>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Anual'!$I$53</c:f>
              <c:strCache>
                <c:ptCount val="1"/>
                <c:pt idx="0">
                  <c:v>DETERGENTES</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Anual'!$I$54:$I$56</c:f>
              <c:numCache>
                <c:formatCode>0.00</c:formatCode>
                <c:ptCount val="3"/>
                <c:pt idx="0">
                  <c:v>30</c:v>
                </c:pt>
                <c:pt idx="1">
                  <c:v>0.32</c:v>
                </c:pt>
                <c:pt idx="2">
                  <c:v>30</c:v>
                </c:pt>
              </c:numCache>
            </c:numRef>
          </c:val>
          <c:extLst>
            <c:ext xmlns:c16="http://schemas.microsoft.com/office/drawing/2014/chart" uri="{C3380CC4-5D6E-409C-BE32-E72D297353CC}">
              <c16:uniqueId val="{00000000-FBDE-4248-A911-E8B93A0EFBDC}"/>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Anual'!$J$53</c:f>
              <c:strCache>
                <c:ptCount val="1"/>
                <c:pt idx="0">
                  <c:v>FOSFORO TOTAL</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Anual'!$J$54:$J$56</c:f>
              <c:numCache>
                <c:formatCode>0.00</c:formatCode>
                <c:ptCount val="3"/>
                <c:pt idx="0">
                  <c:v>6.31</c:v>
                </c:pt>
                <c:pt idx="1">
                  <c:v>7.86</c:v>
                </c:pt>
                <c:pt idx="2">
                  <c:v>12.6</c:v>
                </c:pt>
              </c:numCache>
            </c:numRef>
          </c:val>
          <c:extLst>
            <c:ext xmlns:c16="http://schemas.microsoft.com/office/drawing/2014/chart" uri="{C3380CC4-5D6E-409C-BE32-E72D297353CC}">
              <c16:uniqueId val="{00000000-F615-4841-AE9B-016251501A7E}"/>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Anual'!$K$53</c:f>
              <c:strCache>
                <c:ptCount val="1"/>
                <c:pt idx="0">
                  <c:v>GRASAS Y ACEITES</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Anual'!$K$54:$K$56</c:f>
              <c:numCache>
                <c:formatCode>0.00</c:formatCode>
                <c:ptCount val="3"/>
                <c:pt idx="0">
                  <c:v>6.28</c:v>
                </c:pt>
                <c:pt idx="1">
                  <c:v>3.98</c:v>
                </c:pt>
                <c:pt idx="2">
                  <c:v>2</c:v>
                </c:pt>
              </c:numCache>
            </c:numRef>
          </c:val>
          <c:extLst>
            <c:ext xmlns:c16="http://schemas.microsoft.com/office/drawing/2014/chart" uri="{C3380CC4-5D6E-409C-BE32-E72D297353CC}">
              <c16:uniqueId val="{00000000-8F64-4754-995C-6B64C5B26B60}"/>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Anual'!$L$53</c:f>
              <c:strCache>
                <c:ptCount val="1"/>
                <c:pt idx="0">
                  <c:v>SST</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Anual'!$L$54:$L$56</c:f>
              <c:numCache>
                <c:formatCode>0.00</c:formatCode>
                <c:ptCount val="3"/>
                <c:pt idx="0">
                  <c:v>8.1999999999999993</c:v>
                </c:pt>
                <c:pt idx="1">
                  <c:v>7000</c:v>
                </c:pt>
                <c:pt idx="2">
                  <c:v>25600</c:v>
                </c:pt>
              </c:numCache>
            </c:numRef>
          </c:val>
          <c:extLst>
            <c:ext xmlns:c16="http://schemas.microsoft.com/office/drawing/2014/chart" uri="{C3380CC4-5D6E-409C-BE32-E72D297353CC}">
              <c16:uniqueId val="{00000000-C66B-4C7C-B476-31CE2FE36673}"/>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Anual'!$M$53</c:f>
              <c:strCache>
                <c:ptCount val="1"/>
                <c:pt idx="0">
                  <c:v>NITROGENO AMONIACAL </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Anual'!$M$54:$M$56</c:f>
              <c:numCache>
                <c:formatCode>0.00</c:formatCode>
                <c:ptCount val="3"/>
                <c:pt idx="0">
                  <c:v>6.7530000000000001</c:v>
                </c:pt>
                <c:pt idx="1">
                  <c:v>2870</c:v>
                </c:pt>
                <c:pt idx="2">
                  <c:v>7221</c:v>
                </c:pt>
              </c:numCache>
            </c:numRef>
          </c:val>
          <c:extLst>
            <c:ext xmlns:c16="http://schemas.microsoft.com/office/drawing/2014/chart" uri="{C3380CC4-5D6E-409C-BE32-E72D297353CC}">
              <c16:uniqueId val="{00000000-F052-4BF9-B411-742ABA1341AE}"/>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Anual'!$N$53</c:f>
              <c:strCache>
                <c:ptCount val="1"/>
                <c:pt idx="0">
                  <c:v>NITROGENO TOTAL</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Anual'!$N$54:$N$56</c:f>
              <c:numCache>
                <c:formatCode>0.00</c:formatCode>
                <c:ptCount val="3"/>
                <c:pt idx="0">
                  <c:v>7.28</c:v>
                </c:pt>
                <c:pt idx="1">
                  <c:v>44675</c:v>
                </c:pt>
                <c:pt idx="2">
                  <c:v>46651</c:v>
                </c:pt>
              </c:numCache>
            </c:numRef>
          </c:val>
          <c:extLst>
            <c:ext xmlns:c16="http://schemas.microsoft.com/office/drawing/2014/chart" uri="{C3380CC4-5D6E-409C-BE32-E72D297353CC}">
              <c16:uniqueId val="{00000000-47D2-43E8-B7D3-C9E8F0AB9A4C}"/>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EFICACIA!$B$8:$K$8</c:f>
              <c:numCache>
                <c:formatCode>0%</c:formatCode>
                <c:ptCount val="10"/>
                <c:pt idx="2">
                  <c:v>0.91</c:v>
                </c:pt>
                <c:pt idx="5">
                  <c:v>0.97</c:v>
                </c:pt>
              </c:numCache>
            </c:numRef>
          </c:yVal>
          <c:smooth val="0"/>
          <c:extLst>
            <c:ext xmlns:c16="http://schemas.microsoft.com/office/drawing/2014/chart" uri="{C3380CC4-5D6E-409C-BE32-E72D297353CC}">
              <c16:uniqueId val="{00000001-4CF1-44C5-98CD-D71B4B354895}"/>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Anual'!$O$53</c:f>
              <c:strCache>
                <c:ptCount val="1"/>
                <c:pt idx="0">
                  <c:v>HIDROCARBUROS TOTALES</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Anual'!$O$54:$O$56</c:f>
              <c:numCache>
                <c:formatCode>0.00</c:formatCode>
                <c:ptCount val="3"/>
                <c:pt idx="0">
                  <c:v>2</c:v>
                </c:pt>
                <c:pt idx="1">
                  <c:v>2</c:v>
                </c:pt>
                <c:pt idx="2">
                  <c:v>2</c:v>
                </c:pt>
              </c:numCache>
            </c:numRef>
          </c:val>
          <c:extLst>
            <c:ext xmlns:c16="http://schemas.microsoft.com/office/drawing/2014/chart" uri="{C3380CC4-5D6E-409C-BE32-E72D297353CC}">
              <c16:uniqueId val="{00000000-FDB0-4E79-8FA3-47A34FACCC79}"/>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Anual'!$P$53</c:f>
              <c:strCache>
                <c:ptCount val="1"/>
                <c:pt idx="0">
                  <c:v>NITRATOS (mg N-NO3/L)</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Anual'!$P$54:$P$56</c:f>
              <c:numCache>
                <c:formatCode>0.00</c:formatCode>
                <c:ptCount val="3"/>
                <c:pt idx="0">
                  <c:v>0.62570000000000003</c:v>
                </c:pt>
                <c:pt idx="1">
                  <c:v>408273</c:v>
                </c:pt>
                <c:pt idx="2">
                  <c:v>33506</c:v>
                </c:pt>
              </c:numCache>
            </c:numRef>
          </c:val>
          <c:extLst>
            <c:ext xmlns:c16="http://schemas.microsoft.com/office/drawing/2014/chart" uri="{C3380CC4-5D6E-409C-BE32-E72D297353CC}">
              <c16:uniqueId val="{00000000-3C5E-41FA-B146-34D8B45D2459}"/>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Anual'!$Q$53</c:f>
              <c:strCache>
                <c:ptCount val="1"/>
                <c:pt idx="0">
                  <c:v>NITRITOS (mg N-NO2/L)</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Anual'!$Q$54:$Q$56</c:f>
              <c:numCache>
                <c:formatCode>0.00</c:formatCode>
                <c:ptCount val="3"/>
                <c:pt idx="0">
                  <c:v>1.4999999999999999E-2</c:v>
                </c:pt>
                <c:pt idx="1">
                  <c:v>0.56999999999999995</c:v>
                </c:pt>
                <c:pt idx="2">
                  <c:v>5363</c:v>
                </c:pt>
              </c:numCache>
            </c:numRef>
          </c:val>
          <c:extLst>
            <c:ext xmlns:c16="http://schemas.microsoft.com/office/drawing/2014/chart" uri="{C3380CC4-5D6E-409C-BE32-E72D297353CC}">
              <c16:uniqueId val="{00000000-2C7F-49EF-969D-8E0F2FC2ABDF}"/>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barChart>
        <c:barDir val="col"/>
        <c:grouping val="clustered"/>
        <c:varyColors val="0"/>
        <c:ser>
          <c:idx val="0"/>
          <c:order val="0"/>
          <c:tx>
            <c:strRef>
              <c:f>'Resultado Informe PTAR Anual'!$R$53</c:f>
              <c:strCache>
                <c:ptCount val="1"/>
                <c:pt idx="0">
                  <c:v>ORTOFOSFATOS (mg P-PO4/L)</c:v>
                </c:pt>
              </c:strCache>
            </c:strRef>
          </c:tx>
          <c:spPr>
            <a:solidFill>
              <a:schemeClr val="accent1"/>
            </a:solidFill>
            <a:ln>
              <a:noFill/>
            </a:ln>
            <a:effectLst/>
          </c:spPr>
          <c:invertIfNegative val="0"/>
          <c:cat>
            <c:strRef>
              <c:f>'Resultado Informe PTAR Anual'!$B$54:$B$56</c:f>
              <c:strCache>
                <c:ptCount val="3"/>
                <c:pt idx="0">
                  <c:v>Año 2019</c:v>
                </c:pt>
                <c:pt idx="1">
                  <c:v>Año 2020</c:v>
                </c:pt>
                <c:pt idx="2">
                  <c:v>Año 2021</c:v>
                </c:pt>
              </c:strCache>
            </c:strRef>
          </c:cat>
          <c:val>
            <c:numRef>
              <c:f>'Resultado Informe PTAR Anual'!$R$54:$R$56</c:f>
              <c:numCache>
                <c:formatCode>0.00</c:formatCode>
                <c:ptCount val="3"/>
                <c:pt idx="0">
                  <c:v>6.0540000000000003</c:v>
                </c:pt>
                <c:pt idx="1">
                  <c:v>7427</c:v>
                </c:pt>
                <c:pt idx="2">
                  <c:v>10101</c:v>
                </c:pt>
              </c:numCache>
            </c:numRef>
          </c:val>
          <c:extLst>
            <c:ext xmlns:c16="http://schemas.microsoft.com/office/drawing/2014/chart" uri="{C3380CC4-5D6E-409C-BE32-E72D297353CC}">
              <c16:uniqueId val="{00000000-0CD5-48BF-9460-A4A0ECF2AC82}"/>
            </c:ext>
          </c:extLst>
        </c:ser>
        <c:dLbls>
          <c:showLegendKey val="0"/>
          <c:showVal val="0"/>
          <c:showCatName val="0"/>
          <c:showSerName val="0"/>
          <c:showPercent val="0"/>
          <c:showBubbleSize val="0"/>
        </c:dLbls>
        <c:gapWidth val="219"/>
        <c:overlap val="-27"/>
        <c:axId val="1299422064"/>
        <c:axId val="1040241296"/>
      </c:barChart>
      <c:catAx>
        <c:axId val="12994220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040241296"/>
        <c:crosses val="autoZero"/>
        <c:auto val="1"/>
        <c:lblAlgn val="ctr"/>
        <c:lblOffset val="100"/>
        <c:noMultiLvlLbl val="0"/>
      </c:catAx>
      <c:valAx>
        <c:axId val="1040241296"/>
        <c:scaling>
          <c:orientation val="minMax"/>
        </c:scaling>
        <c:delete val="0"/>
        <c:axPos val="l"/>
        <c:majorGridlines>
          <c:spPr>
            <a:ln w="9525" cap="flat" cmpd="sng" algn="ctr">
              <a:solidFill>
                <a:schemeClr val="tx1">
                  <a:lumMod val="15000"/>
                  <a:lumOff val="85000"/>
                </a:schemeClr>
              </a:solidFill>
              <a:round/>
            </a:ln>
            <a:effectLst/>
          </c:spPr>
        </c:majorGridlines>
        <c:numFmt formatCode="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9942206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Cumplimiento calidad agua residual vertida</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'Resultado Informe PTAR Anual'!$D$65</c:f>
              <c:strCache>
                <c:ptCount val="1"/>
                <c:pt idx="0">
                  <c:v>Parametros Cumplidos</c:v>
                </c:pt>
              </c:strCache>
            </c:strRef>
          </c:tx>
          <c:spPr>
            <a:ln w="28575" cap="rnd">
              <a:solidFill>
                <a:schemeClr val="accent1"/>
              </a:solidFill>
              <a:round/>
            </a:ln>
            <a:effectLst/>
          </c:spPr>
          <c:marker>
            <c:symbol val="none"/>
          </c:marker>
          <c:cat>
            <c:strRef>
              <c:f>'Resultado Informe PTAR Anual'!$E$64:$P$64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'Resultado Informe PTAR Anual'!$E$65:$P$65</c:f>
              <c:numCache>
                <c:formatCode>0</c:formatCode>
                <c:ptCount val="12"/>
                <c:pt idx="0">
                  <c:v>16</c:v>
                </c:pt>
                <c:pt idx="1">
                  <c:v>16</c:v>
                </c:pt>
                <c:pt idx="2">
                  <c:v>16</c:v>
                </c:pt>
                <c:pt idx="3">
                  <c:v>16</c:v>
                </c:pt>
                <c:pt idx="4">
                  <c:v>16</c:v>
                </c:pt>
                <c:pt idx="5">
                  <c:v>16</c:v>
                </c:pt>
                <c:pt idx="6">
                  <c:v>16</c:v>
                </c:pt>
                <c:pt idx="7">
                  <c:v>16</c:v>
                </c:pt>
                <c:pt idx="8">
                  <c:v>16</c:v>
                </c:pt>
                <c:pt idx="9">
                  <c:v>16</c:v>
                </c:pt>
                <c:pt idx="10">
                  <c:v>16</c:v>
                </c:pt>
                <c:pt idx="11">
                  <c:v>16</c:v>
                </c:pt>
              </c:numCache>
            </c:numRef>
          </c:val>
          <c:smooth val="0"/>
          <c:extLst>
            <c:ext xmlns:c16="http://schemas.microsoft.com/office/drawing/2014/chart" uri="{C3380CC4-5D6E-409C-BE32-E72D297353CC}">
              <c16:uniqueId val="{00000000-56A2-4223-81A6-7C196558BCBE}"/>
            </c:ext>
          </c:extLst>
        </c:ser>
        <c:ser>
          <c:idx val="1"/>
          <c:order val="1"/>
          <c:tx>
            <c:strRef>
              <c:f>'Resultado Informe PTAR Anual'!$D$67</c:f>
              <c:strCache>
                <c:ptCount val="1"/>
                <c:pt idx="0">
                  <c:v>Meta (1 Parametro Incumplido como Max)</c:v>
                </c:pt>
              </c:strCache>
            </c:strRef>
          </c:tx>
          <c:spPr>
            <a:ln w="28575" cap="rnd">
              <a:solidFill>
                <a:schemeClr val="accent2"/>
              </a:solidFill>
              <a:round/>
            </a:ln>
            <a:effectLst/>
          </c:spPr>
          <c:marker>
            <c:symbol val="none"/>
          </c:marker>
          <c:cat>
            <c:strRef>
              <c:f>'Resultado Informe PTAR Anual'!$E$64:$P$64</c:f>
              <c:strCache>
                <c:ptCount val="12"/>
                <c:pt idx="0">
                  <c:v>Enero</c:v>
                </c:pt>
                <c:pt idx="1">
                  <c:v>Febrero</c:v>
                </c:pt>
                <c:pt idx="2">
                  <c:v>Marzo</c:v>
                </c:pt>
                <c:pt idx="3">
                  <c:v>Abril</c:v>
                </c:pt>
                <c:pt idx="4">
                  <c:v>Mayo</c:v>
                </c:pt>
                <c:pt idx="5">
                  <c:v>Junio</c:v>
                </c:pt>
                <c:pt idx="6">
                  <c:v>Julio</c:v>
                </c:pt>
                <c:pt idx="7">
                  <c:v>Agosto</c:v>
                </c:pt>
                <c:pt idx="8">
                  <c:v>Septiembre</c:v>
                </c:pt>
                <c:pt idx="9">
                  <c:v>Octubre</c:v>
                </c:pt>
                <c:pt idx="10">
                  <c:v>Noviembre</c:v>
                </c:pt>
                <c:pt idx="11">
                  <c:v>Diciembre</c:v>
                </c:pt>
              </c:strCache>
            </c:strRef>
          </c:cat>
          <c:val>
            <c:numRef>
              <c:f>'Resultado Informe PTAR Anual'!$E$67:$P$67</c:f>
              <c:numCache>
                <c:formatCode>General</c:formatCode>
                <c:ptCount val="12"/>
                <c:pt idx="0">
                  <c:v>15</c:v>
                </c:pt>
                <c:pt idx="1">
                  <c:v>15</c:v>
                </c:pt>
                <c:pt idx="2">
                  <c:v>15</c:v>
                </c:pt>
                <c:pt idx="3">
                  <c:v>15</c:v>
                </c:pt>
                <c:pt idx="4">
                  <c:v>15</c:v>
                </c:pt>
                <c:pt idx="5">
                  <c:v>15</c:v>
                </c:pt>
                <c:pt idx="6">
                  <c:v>15</c:v>
                </c:pt>
                <c:pt idx="7">
                  <c:v>15</c:v>
                </c:pt>
                <c:pt idx="8">
                  <c:v>15</c:v>
                </c:pt>
                <c:pt idx="9">
                  <c:v>15</c:v>
                </c:pt>
                <c:pt idx="10">
                  <c:v>15</c:v>
                </c:pt>
                <c:pt idx="11">
                  <c:v>15</c:v>
                </c:pt>
              </c:numCache>
            </c:numRef>
          </c:val>
          <c:smooth val="0"/>
          <c:extLst>
            <c:ext xmlns:c16="http://schemas.microsoft.com/office/drawing/2014/chart" uri="{C3380CC4-5D6E-409C-BE32-E72D297353CC}">
              <c16:uniqueId val="{00000001-56A2-4223-81A6-7C196558BCBE}"/>
            </c:ext>
          </c:extLst>
        </c:ser>
        <c:dLbls>
          <c:showLegendKey val="0"/>
          <c:showVal val="0"/>
          <c:showCatName val="0"/>
          <c:showSerName val="0"/>
          <c:showPercent val="0"/>
          <c:showBubbleSize val="0"/>
        </c:dLbls>
        <c:smooth val="0"/>
        <c:axId val="1930004111"/>
        <c:axId val="115104927"/>
      </c:lineChart>
      <c:catAx>
        <c:axId val="1930004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104927"/>
        <c:crosses val="autoZero"/>
        <c:auto val="1"/>
        <c:lblAlgn val="ctr"/>
        <c:lblOffset val="100"/>
        <c:noMultiLvlLbl val="0"/>
      </c:catAx>
      <c:valAx>
        <c:axId val="115104927"/>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3000411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Inidador PQRS ACUEDUCTO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spPr>
            <a:ln w="25400" cap="rnd">
              <a:solidFill>
                <a:srgbClr val="FF0000"/>
              </a:solidFill>
              <a:round/>
            </a:ln>
            <a:effectLst>
              <a:outerShdw blurRad="57150" dist="19050" dir="5400000" algn="ctr" rotWithShape="0">
                <a:srgbClr val="000000">
                  <a:alpha val="63000"/>
                </a:srgbClr>
              </a:outerShdw>
            </a:effectLst>
          </c:spPr>
          <c:marker>
            <c:symbol val="circle"/>
            <c:size val="6"/>
            <c:spPr>
              <a:solidFill>
                <a:srgbClr val="FF0000"/>
              </a:solidFill>
              <a:ln w="9525">
                <a:solidFill>
                  <a:schemeClr val="accent6"/>
                </a:solidFill>
                <a:round/>
              </a:ln>
              <a:effectLst>
                <a:outerShdw blurRad="57150" dist="19050" dir="5400000" algn="ctr" rotWithShape="0">
                  <a:srgbClr val="000000">
                    <a:alpha val="63000"/>
                  </a:srgbClr>
                </a:outerShdw>
              </a:effectLst>
            </c:spPr>
          </c:marker>
          <c:val>
            <c:numRef>
              <c:f>'IRSAL 2021'!#REF!</c:f>
              <c:numCache>
                <c:formatCode>0%</c:formatCode>
                <c:ptCount val="1"/>
                <c:pt idx="0">
                  <c:v>1</c:v>
                </c:pt>
              </c:numCache>
            </c:numRef>
          </c:val>
          <c:smooth val="0"/>
          <c:extLst>
            <c:ext xmlns:c15="http://schemas.microsoft.com/office/drawing/2012/chart" uri="{02D57815-91ED-43cb-92C2-25804820EDAC}">
              <c15:filteredCategoryTitle>
                <c15:cat>
                  <c:strRef>
                    <c:extLst>
                      <c:ext uri="{02D57815-91ED-43cb-92C2-25804820EDAC}">
                        <c15:formulaRef>
                          <c15:sqref>'IRSAL 2021'!#REF!</c15:sqref>
                        </c15:formulaRef>
                      </c:ext>
                    </c:extLst>
                    <c:strCache>
                      <c:ptCount val="1"/>
                      <c:pt idx="0">
                        <c:v>#REF!</c:v>
                      </c:pt>
                    </c:strCache>
                  </c:strRef>
                </c15:cat>
              </c15:filteredCategoryTitle>
            </c:ext>
            <c:ext xmlns:c16="http://schemas.microsoft.com/office/drawing/2014/chart" uri="{C3380CC4-5D6E-409C-BE32-E72D297353CC}">
              <c16:uniqueId val="{00000000-F090-46B6-8ED2-6124226CA8FA}"/>
            </c:ext>
          </c:extLst>
        </c:ser>
        <c:ser>
          <c:idx val="1"/>
          <c:order val="1"/>
          <c:spPr>
            <a:ln w="34925" cap="rnd">
              <a:solidFill>
                <a:srgbClr val="00B0F0"/>
              </a:solidFill>
              <a:round/>
            </a:ln>
            <a:effectLst>
              <a:outerShdw blurRad="57150" dist="19050" dir="5400000" algn="ctr" rotWithShape="0">
                <a:srgbClr val="000000">
                  <a:alpha val="63000"/>
                </a:srgbClr>
              </a:outerShdw>
            </a:effectLst>
          </c:spPr>
          <c:marker>
            <c:symbol val="circle"/>
            <c:size val="6"/>
            <c:spPr>
              <a:solidFill>
                <a:srgbClr val="00B0F0"/>
              </a:solidFill>
              <a:ln w="9525">
                <a:solidFill>
                  <a:schemeClr val="accent5"/>
                </a:solidFill>
                <a:round/>
              </a:ln>
              <a:effectLst>
                <a:outerShdw blurRad="57150" dist="19050" dir="5400000" algn="ctr" rotWithShape="0">
                  <a:srgbClr val="000000">
                    <a:alpha val="63000"/>
                  </a:srgbClr>
                </a:outerShdw>
              </a:effectLst>
            </c:spPr>
          </c:marker>
          <c:val>
            <c:numRef>
              <c:f>'IRSAL 2021'!#REF!</c:f>
              <c:numCache>
                <c:formatCode>0.0%</c:formatCode>
                <c:ptCount val="1"/>
                <c:pt idx="0">
                  <c:v>1</c:v>
                </c:pt>
              </c:numCache>
            </c:numRef>
          </c:val>
          <c:smooth val="0"/>
          <c:extLst>
            <c:ext xmlns:c15="http://schemas.microsoft.com/office/drawing/2012/chart" uri="{02D57815-91ED-43cb-92C2-25804820EDAC}">
              <c15:filteredCategoryTitle>
                <c15:cat>
                  <c:strRef>
                    <c:extLst>
                      <c:ext uri="{02D57815-91ED-43cb-92C2-25804820EDAC}">
                        <c15:formulaRef>
                          <c15:sqref>'IRSAL 2021'!#REF!</c15:sqref>
                        </c15:formulaRef>
                      </c:ext>
                    </c:extLst>
                    <c:strCache>
                      <c:ptCount val="1"/>
                      <c:pt idx="0">
                        <c:v>#REF!</c:v>
                      </c:pt>
                    </c:strCache>
                  </c:strRef>
                </c15:cat>
              </c15:filteredCategoryTitle>
            </c:ext>
            <c:ext xmlns:c16="http://schemas.microsoft.com/office/drawing/2014/chart" uri="{C3380CC4-5D6E-409C-BE32-E72D297353CC}">
              <c16:uniqueId val="{00000001-F090-46B6-8ED2-6124226CA8FA}"/>
            </c:ext>
          </c:extLst>
        </c:ser>
        <c:dLbls>
          <c:showLegendKey val="0"/>
          <c:showVal val="0"/>
          <c:showCatName val="0"/>
          <c:showSerName val="0"/>
          <c:showPercent val="0"/>
          <c:showBubbleSize val="0"/>
        </c:dLbls>
        <c:marker val="1"/>
        <c:smooth val="0"/>
        <c:axId val="171665280"/>
        <c:axId val="171683840"/>
      </c:lineChart>
      <c:catAx>
        <c:axId val="171665280"/>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683840"/>
        <c:crosses val="autoZero"/>
        <c:auto val="1"/>
        <c:lblAlgn val="ctr"/>
        <c:lblOffset val="100"/>
        <c:noMultiLvlLbl val="0"/>
      </c:catAx>
      <c:valAx>
        <c:axId val="171683840"/>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US"/>
                  <a:t>Cumplimiento Indicador</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665280"/>
        <c:crosses val="autoZero"/>
        <c:crossBetween val="between"/>
      </c:valAx>
      <c:spPr>
        <a:noFill/>
        <a:ln>
          <a:noFill/>
        </a:ln>
        <a:effectLst/>
      </c:spPr>
    </c:plotArea>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Inidador PQRS Alcantarillado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tx>
            <c:v>Meta</c:v>
          </c:tx>
          <c:spPr>
            <a:ln w="34925" cap="rnd">
              <a:solidFill>
                <a:schemeClr val="accent2"/>
              </a:solidFill>
              <a:round/>
            </a:ln>
            <a:effectLst>
              <a:outerShdw blurRad="57150" dist="19050" dir="5400000" algn="ctr" rotWithShape="0">
                <a:srgbClr val="000000">
                  <a:alpha val="63000"/>
                </a:srgbClr>
              </a:outerShdw>
            </a:effectLst>
          </c:spPr>
          <c:marker>
            <c:symbol val="circle"/>
            <c:size val="6"/>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w="9525">
                <a:solidFill>
                  <a:schemeClr val="accent2"/>
                </a:solidFill>
                <a:round/>
              </a:ln>
              <a:effectLst>
                <a:outerShdw blurRad="57150" dist="19050" dir="5400000" algn="ctr" rotWithShape="0">
                  <a:srgbClr val="000000">
                    <a:alpha val="63000"/>
                  </a:srgbClr>
                </a:outerShdw>
              </a:effectLst>
            </c:spPr>
          </c:marker>
          <c:cat>
            <c:strRef>
              <c:f>'Reclamaciones Alcan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'Reclamaciones Alcan 2022'!$C$22:$N$22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0-C090-420F-9EC0-2EF7A0D6D252}"/>
            </c:ext>
          </c:extLst>
        </c:ser>
        <c:ser>
          <c:idx val="1"/>
          <c:order val="1"/>
          <c:spPr>
            <a:ln w="34925" cap="rnd">
              <a:solidFill>
                <a:schemeClr val="accent4"/>
              </a:solidFill>
              <a:round/>
            </a:ln>
            <a:effectLst>
              <a:outerShdw blurRad="57150" dist="19050" dir="5400000" algn="ctr" rotWithShape="0">
                <a:srgbClr val="000000">
                  <a:alpha val="63000"/>
                </a:srgbClr>
              </a:outerShdw>
            </a:effectLst>
          </c:spPr>
          <c:marker>
            <c:symbol val="circle"/>
            <c:size val="6"/>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w="9525">
                <a:solidFill>
                  <a:schemeClr val="accent4"/>
                </a:solidFill>
                <a:round/>
              </a:ln>
              <a:effectLst>
                <a:outerShdw blurRad="57150" dist="19050" dir="5400000" algn="ctr" rotWithShape="0">
                  <a:srgbClr val="000000">
                    <a:alpha val="63000"/>
                  </a:srgbClr>
                </a:outerShdw>
              </a:effectLst>
            </c:spPr>
          </c:marker>
          <c:cat>
            <c:strRef>
              <c:f>'Reclamaciones Alcan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'Reclamaciones Alcan 2022'!$C$23:$N$23</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C090-420F-9EC0-2EF7A0D6D252}"/>
            </c:ext>
          </c:extLst>
        </c:ser>
        <c:dLbls>
          <c:showLegendKey val="0"/>
          <c:showVal val="0"/>
          <c:showCatName val="0"/>
          <c:showSerName val="0"/>
          <c:showPercent val="0"/>
          <c:showBubbleSize val="0"/>
        </c:dLbls>
        <c:marker val="1"/>
        <c:smooth val="0"/>
        <c:axId val="171713664"/>
        <c:axId val="171715584"/>
      </c:lineChart>
      <c:catAx>
        <c:axId val="171713664"/>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715584"/>
        <c:crosses val="autoZero"/>
        <c:auto val="1"/>
        <c:lblAlgn val="ctr"/>
        <c:lblOffset val="100"/>
        <c:noMultiLvlLbl val="0"/>
      </c:catAx>
      <c:valAx>
        <c:axId val="171715584"/>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US"/>
                  <a:t>Cumplimiento Indicador</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713664"/>
        <c:crosses val="autoZero"/>
        <c:crossBetween val="between"/>
      </c:valAx>
      <c:dTable>
        <c:showHorzBorder val="1"/>
        <c:showVertBorder val="1"/>
        <c:showOutline val="1"/>
        <c:showKeys val="1"/>
        <c:spPr>
          <a:noFill/>
          <a:ln w="9525">
            <a:solidFill>
              <a:schemeClr val="lt1">
                <a:lumMod val="95000"/>
                <a:alpha val="54000"/>
              </a:schemeClr>
            </a:solidFill>
          </a:ln>
          <a:effectLst/>
        </c:spPr>
        <c:txPr>
          <a:bodyPr rot="0" spcFirstLastPara="1" vertOverflow="ellipsis" vert="horz" wrap="square" anchor="ctr" anchorCtr="1"/>
          <a:lstStyle/>
          <a:p>
            <a:pPr rtl="0">
              <a:defRPr sz="900" b="0" i="0" u="none" strike="noStrike" kern="1200" baseline="0">
                <a:solidFill>
                  <a:schemeClr val="lt1">
                    <a:lumMod val="85000"/>
                  </a:schemeClr>
                </a:solidFill>
                <a:latin typeface="+mn-lt"/>
                <a:ea typeface="+mn-ea"/>
                <a:cs typeface="+mn-cs"/>
              </a:defRPr>
            </a:pPr>
            <a:endParaRPr lang="es-CO"/>
          </a:p>
        </c:txPr>
      </c:dTable>
      <c:spPr>
        <a:noFill/>
        <a:ln>
          <a:noFill/>
        </a:ln>
        <a:effectLst/>
      </c:spPr>
    </c:plotArea>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Inidador PQRS ACUEDUCTO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0.11914834061507383"/>
          <c:y val="0.19964646464646466"/>
          <c:w val="0.86024372533031512"/>
          <c:h val="0.56014395927781757"/>
        </c:manualLayout>
      </c:layout>
      <c:lineChart>
        <c:grouping val="standard"/>
        <c:varyColors val="0"/>
        <c:ser>
          <c:idx val="0"/>
          <c:order val="0"/>
          <c:spPr>
            <a:ln w="25400" cap="rnd">
              <a:solidFill>
                <a:srgbClr val="FF0000"/>
              </a:solidFill>
              <a:round/>
            </a:ln>
            <a:effectLst>
              <a:outerShdw blurRad="57150" dist="19050" dir="5400000" algn="ctr" rotWithShape="0">
                <a:srgbClr val="000000">
                  <a:alpha val="63000"/>
                </a:srgbClr>
              </a:outerShdw>
            </a:effectLst>
          </c:spPr>
          <c:marker>
            <c:symbol val="circle"/>
            <c:size val="6"/>
            <c:spPr>
              <a:solidFill>
                <a:srgbClr val="FF0000"/>
              </a:solidFill>
              <a:ln w="9525">
                <a:solidFill>
                  <a:schemeClr val="accent6"/>
                </a:solidFill>
                <a:round/>
              </a:ln>
              <a:effectLst>
                <a:outerShdw blurRad="57150" dist="19050" dir="5400000" algn="ctr" rotWithShape="0">
                  <a:srgbClr val="000000">
                    <a:alpha val="63000"/>
                  </a:srgbClr>
                </a:outerShdw>
              </a:effectLst>
            </c:spPr>
          </c:marker>
          <c:cat>
            <c:strRef>
              <c:f>'Reclamaciones Acue- 2022'!$C$19:$N$19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'Reclamaciones Acue- 2022'!$C$22:$N$22</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0-511F-4145-B6CD-7DD3E19A948E}"/>
            </c:ext>
          </c:extLst>
        </c:ser>
        <c:ser>
          <c:idx val="1"/>
          <c:order val="1"/>
          <c:spPr>
            <a:ln w="34925" cap="rnd">
              <a:solidFill>
                <a:srgbClr val="00B0F0"/>
              </a:solidFill>
              <a:round/>
            </a:ln>
            <a:effectLst>
              <a:outerShdw blurRad="57150" dist="19050" dir="5400000" algn="ctr" rotWithShape="0">
                <a:srgbClr val="000000">
                  <a:alpha val="63000"/>
                </a:srgbClr>
              </a:outerShdw>
            </a:effectLst>
          </c:spPr>
          <c:marker>
            <c:symbol val="circle"/>
            <c:size val="6"/>
            <c:spPr>
              <a:solidFill>
                <a:srgbClr val="00B0F0"/>
              </a:solidFill>
              <a:ln w="9525">
                <a:solidFill>
                  <a:schemeClr val="accent5"/>
                </a:solidFill>
                <a:round/>
              </a:ln>
              <a:effectLst>
                <a:outerShdw blurRad="57150" dist="19050" dir="5400000" algn="ctr" rotWithShape="0">
                  <a:srgbClr val="000000">
                    <a:alpha val="63000"/>
                  </a:srgbClr>
                </a:outerShdw>
              </a:effectLst>
            </c:spPr>
          </c:marker>
          <c:cat>
            <c:strRef>
              <c:f>'Reclamaciones Acue- 2022'!$C$19:$N$19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'Reclamaciones Acue- 2022'!$C$23:$N$23</c:f>
              <c:numCache>
                <c:formatCode>0%</c:formatCode>
                <c:ptCount val="12"/>
                <c:pt idx="0">
                  <c:v>1</c:v>
                </c:pt>
                <c:pt idx="1">
                  <c:v>1</c:v>
                </c:pt>
                <c:pt idx="2">
                  <c:v>1</c:v>
                </c:pt>
                <c:pt idx="3">
                  <c:v>1</c:v>
                </c:pt>
                <c:pt idx="4">
                  <c:v>1</c:v>
                </c:pt>
                <c:pt idx="5">
                  <c:v>1</c:v>
                </c:pt>
                <c:pt idx="6">
                  <c:v>1</c:v>
                </c:pt>
                <c:pt idx="7">
                  <c:v>0</c:v>
                </c:pt>
                <c:pt idx="8">
                  <c:v>0</c:v>
                </c:pt>
                <c:pt idx="9">
                  <c:v>0</c:v>
                </c:pt>
                <c:pt idx="10">
                  <c:v>0</c:v>
                </c:pt>
                <c:pt idx="11">
                  <c:v>0</c:v>
                </c:pt>
              </c:numCache>
            </c:numRef>
          </c:val>
          <c:smooth val="0"/>
          <c:extLst>
            <c:ext xmlns:c16="http://schemas.microsoft.com/office/drawing/2014/chart" uri="{C3380CC4-5D6E-409C-BE32-E72D297353CC}">
              <c16:uniqueId val="{00000001-511F-4145-B6CD-7DD3E19A948E}"/>
            </c:ext>
          </c:extLst>
        </c:ser>
        <c:dLbls>
          <c:showLegendKey val="0"/>
          <c:showVal val="0"/>
          <c:showCatName val="0"/>
          <c:showSerName val="0"/>
          <c:showPercent val="0"/>
          <c:showBubbleSize val="0"/>
        </c:dLbls>
        <c:marker val="1"/>
        <c:smooth val="0"/>
        <c:axId val="171590016"/>
        <c:axId val="171591936"/>
      </c:lineChart>
      <c:catAx>
        <c:axId val="171590016"/>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591936"/>
        <c:crosses val="autoZero"/>
        <c:auto val="1"/>
        <c:lblAlgn val="ctr"/>
        <c:lblOffset val="100"/>
        <c:noMultiLvlLbl val="0"/>
      </c:catAx>
      <c:valAx>
        <c:axId val="171591936"/>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US"/>
                  <a:t>Cumplimiento Indicador</a:t>
                </a:r>
              </a:p>
            </c:rich>
          </c:tx>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1590016"/>
        <c:crosses val="autoZero"/>
        <c:crossBetween val="between"/>
      </c:valAx>
      <c:dTable>
        <c:showHorzBorder val="1"/>
        <c:showVertBorder val="1"/>
        <c:showOutline val="1"/>
        <c:showKeys val="1"/>
        <c:spPr>
          <a:noFill/>
          <a:ln w="9525">
            <a:solidFill>
              <a:schemeClr val="lt1">
                <a:lumMod val="95000"/>
                <a:alpha val="54000"/>
              </a:schemeClr>
            </a:solidFill>
          </a:ln>
          <a:effectLst/>
        </c:spPr>
        <c:txPr>
          <a:bodyPr rot="0" spcFirstLastPara="1" vertOverflow="ellipsis" vert="horz" wrap="square" anchor="ctr" anchorCtr="1"/>
          <a:lstStyle/>
          <a:p>
            <a:pPr rtl="0">
              <a:defRPr sz="900" b="0" i="0" u="none" strike="noStrike" kern="1200" baseline="0">
                <a:solidFill>
                  <a:schemeClr val="lt1">
                    <a:lumMod val="85000"/>
                  </a:schemeClr>
                </a:solidFill>
                <a:latin typeface="+mn-lt"/>
                <a:ea typeface="+mn-ea"/>
                <a:cs typeface="+mn-cs"/>
              </a:defRPr>
            </a:pPr>
            <a:endParaRPr lang="es-CO"/>
          </a:p>
        </c:txPr>
      </c:dTable>
      <c:spPr>
        <a:noFill/>
        <a:ln>
          <a:noFill/>
        </a:ln>
        <a:effectLst/>
      </c:spPr>
    </c:plotArea>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Rotacion</a:t>
            </a:r>
            <a:r>
              <a:rPr lang="es-ES" baseline="0"/>
              <a:t> de Cartera</a:t>
            </a:r>
            <a:endParaRPr lang="es-ES"/>
          </a:p>
        </c:rich>
      </c:tx>
      <c:overlay val="0"/>
      <c:spPr>
        <a:noFill/>
        <a:ln>
          <a:noFill/>
        </a:ln>
        <a:effectLst/>
      </c:sp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'Rotacion de Cartera.'!$C$18:$N$18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f>'Rotacion de Cartera.'!$C$19:$N$19</c:f>
              <c:numCache>
                <c:formatCode>General</c:formatCode>
                <c:ptCount val="12"/>
              </c:numCache>
            </c:numRef>
          </c:yVal>
          <c:smooth val="0"/>
          <c:extLst>
            <c:ext xmlns:c16="http://schemas.microsoft.com/office/drawing/2014/chart" uri="{C3380CC4-5D6E-409C-BE32-E72D297353CC}">
              <c16:uniqueId val="{00000000-776A-42ED-A535-0D33ABA395D2}"/>
            </c:ext>
          </c:extLst>
        </c:ser>
        <c:dLbls>
          <c:showLegendKey val="0"/>
          <c:showVal val="0"/>
          <c:showCatName val="0"/>
          <c:showSerName val="0"/>
          <c:showPercent val="0"/>
          <c:showBubbleSize val="0"/>
        </c:dLbls>
        <c:axId val="181075264"/>
        <c:axId val="181051968"/>
        <c:extLst>
          <c:ext xmlns:c15="http://schemas.microsoft.com/office/drawing/2012/chart" uri="{02D57815-91ED-43cb-92C2-25804820EDAC}">
            <c15:filteredScatterSeries>
              <c15: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extLst>
                      <c:ext uri="{02D57815-91ED-43cb-92C2-25804820EDAC}">
                        <c15:formulaRef>
                          <c15:sqref>'Rotacion de Cartera.'!$C$18:$N$18</c15:sqref>
                        </c15:formulaRef>
                      </c:ext>
                    </c:extLst>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extLst>
                      <c:ext uri="{02D57815-91ED-43cb-92C2-25804820EDAC}">
                        <c15:formulaRef>
                          <c15:sqref>'Rotacion de Cartera.'!$C$20:$N$20</c15:sqref>
                        </c15:formulaRef>
                      </c:ext>
                    </c:extLst>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yVal>
                <c:smooth val="0"/>
                <c:extLst>
                  <c:ext xmlns:c16="http://schemas.microsoft.com/office/drawing/2014/chart" uri="{C3380CC4-5D6E-409C-BE32-E72D297353CC}">
                    <c16:uniqueId val="{00000001-776A-42ED-A535-0D33ABA395D2}"/>
                  </c:ext>
                </c:extLst>
              </c15:ser>
            </c15:filteredScatterSeries>
          </c:ext>
        </c:extLst>
      </c:scatterChart>
      <c:valAx>
        <c:axId val="18107526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1051968"/>
        <c:crosses val="autoZero"/>
        <c:crossBetween val="midCat"/>
      </c:valAx>
      <c:valAx>
        <c:axId val="18105196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1075264"/>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Eficiencia Recaudo Acueducto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spPr>
            <a:ln w="25400" cap="rnd">
              <a:solidFill>
                <a:srgbClr val="FF0000"/>
              </a:solidFill>
              <a:round/>
            </a:ln>
            <a:effectLst>
              <a:outerShdw blurRad="57150" dist="19050" dir="5400000" algn="ctr" rotWithShape="0">
                <a:srgbClr val="000000">
                  <a:alpha val="63000"/>
                </a:srgbClr>
              </a:outerShdw>
            </a:effectLst>
          </c:spPr>
          <c:marker>
            <c:symbol val="circle"/>
            <c:size val="6"/>
            <c:spPr>
              <a:solidFill>
                <a:srgbClr val="FF0000"/>
              </a:solidFill>
              <a:ln w="9525">
                <a:solidFill>
                  <a:schemeClr val="accent6"/>
                </a:solidFill>
                <a:round/>
              </a:ln>
              <a:effectLst>
                <a:outerShdw blurRad="57150" dist="19050" dir="5400000" algn="ctr" rotWithShape="0">
                  <a:srgbClr val="000000">
                    <a:alpha val="63000"/>
                  </a:srgbClr>
                </a:outerShdw>
              </a:effectLst>
            </c:spPr>
          </c:marker>
          <c:cat>
            <c:strRef>
              <c:f>'Eficiencia-recaudo Acued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'Eficiencia-recaudo Acued 2022'!$C$22:$N$22</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smooth val="0"/>
          <c:extLst>
            <c:ext xmlns:c15="http://schemas.microsoft.com/office/drawing/2012/chart" uri="{02D57815-91ED-43cb-92C2-25804820EDAC}">
              <c15:filteredSeriesTitle>
                <c15:tx>
                  <c:v>Meta</c:v>
                </c15:tx>
              </c15:filteredSeriesTitle>
            </c:ext>
            <c:ext xmlns:c16="http://schemas.microsoft.com/office/drawing/2014/chart" uri="{C3380CC4-5D6E-409C-BE32-E72D297353CC}">
              <c16:uniqueId val="{00000000-D2F8-45DD-AF42-9474B657A1F9}"/>
            </c:ext>
          </c:extLst>
        </c:ser>
        <c:ser>
          <c:idx val="1"/>
          <c:order val="1"/>
          <c:spPr>
            <a:ln w="34925" cap="rnd">
              <a:solidFill>
                <a:srgbClr val="00B0F0"/>
              </a:solidFill>
              <a:round/>
            </a:ln>
            <a:effectLst>
              <a:outerShdw blurRad="57150" dist="19050" dir="5400000" algn="ctr" rotWithShape="0">
                <a:srgbClr val="000000">
                  <a:alpha val="63000"/>
                </a:srgbClr>
              </a:outerShdw>
            </a:effectLst>
          </c:spPr>
          <c:marker>
            <c:symbol val="circle"/>
            <c:size val="6"/>
            <c:spPr>
              <a:solidFill>
                <a:srgbClr val="00B0F0"/>
              </a:solidFill>
              <a:ln w="9525">
                <a:solidFill>
                  <a:schemeClr val="accent5"/>
                </a:solidFill>
                <a:round/>
              </a:ln>
              <a:effectLst>
                <a:outerShdw blurRad="57150" dist="19050" dir="5400000" algn="ctr" rotWithShape="0">
                  <a:srgbClr val="000000">
                    <a:alpha val="63000"/>
                  </a:srgbClr>
                </a:outerShdw>
              </a:effectLst>
            </c:spPr>
          </c:marker>
          <c:cat>
            <c:strRef>
              <c:f>'Eficiencia-recaudo Acued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'Eficiencia-recaudo Acued 2022'!$C$23:$N$23</c:f>
              <c:numCache>
                <c:formatCode>0.0%</c:formatCode>
                <c:ptCount val="12"/>
                <c:pt idx="0" formatCode="0.00%">
                  <c:v>0.96534453136488307</c:v>
                </c:pt>
                <c:pt idx="1">
                  <c:v>0.96572959271518033</c:v>
                </c:pt>
                <c:pt idx="2">
                  <c:v>0.98059569787681355</c:v>
                </c:pt>
                <c:pt idx="3">
                  <c:v>0.98121713149811374</c:v>
                </c:pt>
                <c:pt idx="4">
                  <c:v>0.98461105767835355</c:v>
                </c:pt>
                <c:pt idx="5">
                  <c:v>0.97325211622035401</c:v>
                </c:pt>
                <c:pt idx="6">
                  <c:v>0.97863946614393849</c:v>
                </c:pt>
                <c:pt idx="7">
                  <c:v>0</c:v>
                </c:pt>
                <c:pt idx="8">
                  <c:v>0</c:v>
                </c:pt>
                <c:pt idx="9">
                  <c:v>0</c:v>
                </c:pt>
                <c:pt idx="10">
                  <c:v>0</c:v>
                </c:pt>
                <c:pt idx="11">
                  <c:v>0</c:v>
                </c:pt>
              </c:numCache>
            </c:numRef>
          </c:val>
          <c:smooth val="0"/>
          <c:extLst>
            <c:ext xmlns:c16="http://schemas.microsoft.com/office/drawing/2014/chart" uri="{C3380CC4-5D6E-409C-BE32-E72D297353CC}">
              <c16:uniqueId val="{00000001-D2F8-45DD-AF42-9474B657A1F9}"/>
            </c:ext>
          </c:extLst>
        </c:ser>
        <c:dLbls>
          <c:showLegendKey val="0"/>
          <c:showVal val="0"/>
          <c:showCatName val="0"/>
          <c:showSerName val="0"/>
          <c:showPercent val="0"/>
          <c:showBubbleSize val="0"/>
        </c:dLbls>
        <c:marker val="1"/>
        <c:smooth val="0"/>
        <c:axId val="270566144"/>
        <c:axId val="270568064"/>
      </c:lineChart>
      <c:catAx>
        <c:axId val="270566144"/>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70568064"/>
        <c:crosses val="autoZero"/>
        <c:auto val="1"/>
        <c:lblAlgn val="ctr"/>
        <c:lblOffset val="100"/>
        <c:noMultiLvlLbl val="0"/>
      </c:catAx>
      <c:valAx>
        <c:axId val="270568064"/>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US"/>
                  <a:t>Cumplimiento Indicador</a:t>
                </a:r>
              </a:p>
            </c:rich>
          </c:tx>
          <c:layout>
            <c:manualLayout>
              <c:xMode val="edge"/>
              <c:yMode val="edge"/>
              <c:x val="8.3700440528634359E-2"/>
              <c:y val="0.1150140056022409"/>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70566144"/>
        <c:crosses val="autoZero"/>
        <c:crossBetween val="between"/>
      </c:valAx>
      <c:dTable>
        <c:showHorzBorder val="1"/>
        <c:showVertBorder val="1"/>
        <c:showOutline val="1"/>
        <c:showKeys val="1"/>
        <c:spPr>
          <a:noFill/>
          <a:ln w="9525">
            <a:solidFill>
              <a:schemeClr val="lt1">
                <a:lumMod val="95000"/>
                <a:alpha val="54000"/>
              </a:schemeClr>
            </a:solidFill>
          </a:ln>
          <a:effectLst/>
        </c:spPr>
        <c:txPr>
          <a:bodyPr rot="0" spcFirstLastPara="1" vertOverflow="ellipsis" vert="horz" wrap="square" anchor="ctr" anchorCtr="1"/>
          <a:lstStyle/>
          <a:p>
            <a:pPr rtl="0">
              <a:defRPr sz="900" b="0" i="0" u="none" strike="noStrike" kern="1200" baseline="0">
                <a:solidFill>
                  <a:schemeClr val="lt1">
                    <a:lumMod val="85000"/>
                  </a:schemeClr>
                </a:solidFill>
                <a:latin typeface="+mn-lt"/>
                <a:ea typeface="+mn-ea"/>
                <a:cs typeface="+mn-cs"/>
              </a:defRPr>
            </a:pPr>
            <a:endParaRPr lang="es-CO"/>
          </a:p>
        </c:txPr>
      </c:dTable>
      <c:spPr>
        <a:noFill/>
        <a:ln>
          <a:noFill/>
        </a:ln>
        <a:effectLst/>
      </c:spPr>
    </c:plotArea>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EFICACIA!$B$9:$K$9</c:f>
              <c:numCache>
                <c:formatCode>0%</c:formatCode>
                <c:ptCount val="10"/>
                <c:pt idx="0">
                  <c:v>0.9662281550060392</c:v>
                </c:pt>
                <c:pt idx="1">
                  <c:v>0.96516952290252578</c:v>
                </c:pt>
                <c:pt idx="2">
                  <c:v>0.97220271960579985</c:v>
                </c:pt>
                <c:pt idx="3">
                  <c:v>0.97183884518264707</c:v>
                </c:pt>
                <c:pt idx="4">
                  <c:v>0.97369024523181302</c:v>
                </c:pt>
                <c:pt idx="5">
                  <c:v>0.96763290433910731</c:v>
                </c:pt>
                <c:pt idx="6">
                  <c:v>0.97083534154880446</c:v>
                </c:pt>
              </c:numCache>
            </c:numRef>
          </c:yVal>
          <c:smooth val="0"/>
          <c:extLst>
            <c:ext xmlns:c16="http://schemas.microsoft.com/office/drawing/2014/chart" uri="{C3380CC4-5D6E-409C-BE32-E72D297353CC}">
              <c16:uniqueId val="{00000001-50EA-4785-957C-4573057B4035}"/>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n-US"/>
              <a:t>Eficiencia De Recaudo Alcantarillado</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lineChart>
        <c:grouping val="standard"/>
        <c:varyColors val="0"/>
        <c:ser>
          <c:idx val="0"/>
          <c:order val="0"/>
          <c:tx>
            <c:v>Meta</c:v>
          </c:tx>
          <c:spPr>
            <a:ln w="25400" cap="rnd">
              <a:solidFill>
                <a:srgbClr val="FF0000"/>
              </a:solidFill>
              <a:round/>
            </a:ln>
            <a:effectLst>
              <a:outerShdw blurRad="57150" dist="19050" dir="5400000" algn="ctr" rotWithShape="0">
                <a:srgbClr val="000000">
                  <a:alpha val="63000"/>
                </a:srgbClr>
              </a:outerShdw>
            </a:effectLst>
          </c:spPr>
          <c:marker>
            <c:symbol val="circle"/>
            <c:size val="6"/>
            <c:spPr>
              <a:solidFill>
                <a:srgbClr val="FF0000"/>
              </a:solidFill>
              <a:ln w="9525">
                <a:solidFill>
                  <a:schemeClr val="accent6"/>
                </a:solidFill>
                <a:round/>
              </a:ln>
              <a:effectLst>
                <a:outerShdw blurRad="57150" dist="19050" dir="5400000" algn="ctr" rotWithShape="0">
                  <a:srgbClr val="000000">
                    <a:alpha val="63000"/>
                  </a:srgbClr>
                </a:outerShdw>
              </a:effectLst>
            </c:spPr>
          </c:marker>
          <c:cat>
            <c:strRef>
              <c:f>'Eficiencia-recuado Alcan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'Eficiencia-recuado Alcan 2022'!$C$22:$N$22</c:f>
              <c:numCache>
                <c:formatCode>0%</c:formatCode>
                <c:ptCount val="12"/>
                <c:pt idx="0">
                  <c:v>0.95</c:v>
                </c:pt>
                <c:pt idx="1">
                  <c:v>0.95</c:v>
                </c:pt>
                <c:pt idx="2">
                  <c:v>0.95</c:v>
                </c:pt>
                <c:pt idx="3">
                  <c:v>0.95</c:v>
                </c:pt>
                <c:pt idx="4">
                  <c:v>0.95</c:v>
                </c:pt>
                <c:pt idx="5">
                  <c:v>0.95</c:v>
                </c:pt>
                <c:pt idx="6">
                  <c:v>0.95</c:v>
                </c:pt>
                <c:pt idx="7">
                  <c:v>0.95</c:v>
                </c:pt>
                <c:pt idx="8">
                  <c:v>0.95</c:v>
                </c:pt>
                <c:pt idx="9">
                  <c:v>0.95</c:v>
                </c:pt>
                <c:pt idx="10">
                  <c:v>0.95</c:v>
                </c:pt>
                <c:pt idx="11">
                  <c:v>0.95</c:v>
                </c:pt>
              </c:numCache>
            </c:numRef>
          </c:val>
          <c:smooth val="0"/>
          <c:extLst>
            <c:ext xmlns:c16="http://schemas.microsoft.com/office/drawing/2014/chart" uri="{C3380CC4-5D6E-409C-BE32-E72D297353CC}">
              <c16:uniqueId val="{00000000-E00B-4142-8601-E5F854161B5E}"/>
            </c:ext>
          </c:extLst>
        </c:ser>
        <c:ser>
          <c:idx val="1"/>
          <c:order val="1"/>
          <c:spPr>
            <a:ln w="34925" cap="rnd">
              <a:solidFill>
                <a:srgbClr val="00B0F0"/>
              </a:solidFill>
              <a:round/>
            </a:ln>
            <a:effectLst>
              <a:outerShdw blurRad="57150" dist="19050" dir="5400000" algn="ctr" rotWithShape="0">
                <a:srgbClr val="000000">
                  <a:alpha val="63000"/>
                </a:srgbClr>
              </a:outerShdw>
            </a:effectLst>
          </c:spPr>
          <c:marker>
            <c:symbol val="circle"/>
            <c:size val="6"/>
            <c:spPr>
              <a:solidFill>
                <a:srgbClr val="00B0F0"/>
              </a:solidFill>
              <a:ln w="9525">
                <a:solidFill>
                  <a:schemeClr val="accent5"/>
                </a:solidFill>
                <a:round/>
              </a:ln>
              <a:effectLst>
                <a:outerShdw blurRad="57150" dist="19050" dir="5400000" algn="ctr" rotWithShape="0">
                  <a:srgbClr val="000000">
                    <a:alpha val="63000"/>
                  </a:srgbClr>
                </a:outerShdw>
              </a:effectLst>
            </c:spPr>
          </c:marker>
          <c:cat>
            <c:strRef>
              <c:f>'Eficiencia-recuado Alcan 2022'!$C$19:$N$19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'Eficiencia-recuado Alcan 2022'!$C$23:$N$23</c:f>
              <c:numCache>
                <c:formatCode>0%</c:formatCode>
                <c:ptCount val="12"/>
                <c:pt idx="0" formatCode="0.00%">
                  <c:v>0.96579624366531314</c:v>
                </c:pt>
                <c:pt idx="1">
                  <c:v>0.96011802179744921</c:v>
                </c:pt>
                <c:pt idx="2">
                  <c:v>0.98041790015218544</c:v>
                </c:pt>
                <c:pt idx="3">
                  <c:v>0.97797709441512115</c:v>
                </c:pt>
                <c:pt idx="4">
                  <c:v>0.98384016848071165</c:v>
                </c:pt>
                <c:pt idx="5">
                  <c:v>0.96491240547518242</c:v>
                </c:pt>
                <c:pt idx="6">
                  <c:v>0.97553724160008415</c:v>
                </c:pt>
                <c:pt idx="7">
                  <c:v>0</c:v>
                </c:pt>
                <c:pt idx="8">
                  <c:v>0</c:v>
                </c:pt>
                <c:pt idx="9">
                  <c:v>0</c:v>
                </c:pt>
                <c:pt idx="10">
                  <c:v>0</c:v>
                </c:pt>
                <c:pt idx="11">
                  <c:v>0</c:v>
                </c:pt>
              </c:numCache>
            </c:numRef>
          </c:val>
          <c:smooth val="0"/>
          <c:extLst>
            <c:ext xmlns:c16="http://schemas.microsoft.com/office/drawing/2014/chart" uri="{C3380CC4-5D6E-409C-BE32-E72D297353CC}">
              <c16:uniqueId val="{00000001-E00B-4142-8601-E5F854161B5E}"/>
            </c:ext>
          </c:extLst>
        </c:ser>
        <c:dLbls>
          <c:showLegendKey val="0"/>
          <c:showVal val="0"/>
          <c:showCatName val="0"/>
          <c:showSerName val="0"/>
          <c:showPercent val="0"/>
          <c:showBubbleSize val="0"/>
        </c:dLbls>
        <c:marker val="1"/>
        <c:smooth val="0"/>
        <c:axId val="270627200"/>
        <c:axId val="270628736"/>
      </c:lineChart>
      <c:catAx>
        <c:axId val="270627200"/>
        <c:scaling>
          <c:orientation val="minMax"/>
        </c:scaling>
        <c:delete val="0"/>
        <c:axPos val="b"/>
        <c:numFmt formatCode="General" sourceLinked="1"/>
        <c:majorTickMark val="out"/>
        <c:minorTickMark val="none"/>
        <c:tickLblPos val="nextTo"/>
        <c:spPr>
          <a:noFill/>
          <a:ln w="9525" cap="flat" cmpd="sng" algn="ctr">
            <a:solidFill>
              <a:schemeClr val="dk1">
                <a:lumMod val="50000"/>
                <a:lumOff val="5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70628736"/>
        <c:crosses val="autoZero"/>
        <c:auto val="1"/>
        <c:lblAlgn val="ctr"/>
        <c:lblOffset val="100"/>
        <c:noMultiLvlLbl val="0"/>
      </c:catAx>
      <c:valAx>
        <c:axId val="270628736"/>
        <c:scaling>
          <c:orientation val="minMax"/>
        </c:scaling>
        <c:delete val="0"/>
        <c:axPos val="l"/>
        <c:majorGridlines>
          <c:spPr>
            <a:ln w="9525" cap="flat" cmpd="sng" algn="ctr">
              <a:solidFill>
                <a:schemeClr val="dk1">
                  <a:lumMod val="50000"/>
                  <a:lumOff val="50000"/>
                </a:schemeClr>
              </a:solidFill>
              <a:round/>
            </a:ln>
            <a:effectLst/>
          </c:spPr>
        </c:majorGridlines>
        <c:title>
          <c:tx>
            <c:rich>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r>
                  <a:rPr lang="en-US"/>
                  <a:t>Cumplimiento Indicador</a:t>
                </a:r>
              </a:p>
            </c:rich>
          </c:tx>
          <c:layout>
            <c:manualLayout>
              <c:xMode val="edge"/>
              <c:yMode val="edge"/>
              <c:x val="8.3038566713303993E-2"/>
              <c:y val="0.13182072829131652"/>
            </c:manualLayout>
          </c:layout>
          <c:overlay val="0"/>
          <c:spPr>
            <a:noFill/>
            <a:ln>
              <a:noFill/>
            </a:ln>
            <a:effectLst/>
          </c:spPr>
          <c:txPr>
            <a:bodyPr rot="-5400000" spcFirstLastPara="1" vertOverflow="ellipsis" vert="horz" wrap="square" anchor="ctr" anchorCtr="1"/>
            <a:lstStyle/>
            <a:p>
              <a:pPr>
                <a:defRPr sz="900" b="1" i="0" u="none" strike="noStrike" kern="1200" cap="all" baseline="0">
                  <a:solidFill>
                    <a:schemeClr val="lt1">
                      <a:lumMod val="8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70627200"/>
        <c:crosses val="autoZero"/>
        <c:crossBetween val="between"/>
      </c:valAx>
      <c:dTable>
        <c:showHorzBorder val="1"/>
        <c:showVertBorder val="1"/>
        <c:showOutline val="1"/>
        <c:showKeys val="1"/>
        <c:spPr>
          <a:noFill/>
          <a:ln w="9525">
            <a:solidFill>
              <a:schemeClr val="lt1">
                <a:lumMod val="95000"/>
                <a:alpha val="54000"/>
              </a:schemeClr>
            </a:solidFill>
          </a:ln>
          <a:effectLst/>
        </c:spPr>
        <c:txPr>
          <a:bodyPr rot="0" spcFirstLastPara="1" vertOverflow="ellipsis" vert="horz" wrap="square" anchor="ctr" anchorCtr="1"/>
          <a:lstStyle/>
          <a:p>
            <a:pPr rtl="0">
              <a:defRPr sz="900" b="0" i="0" u="none" strike="noStrike" kern="1200" baseline="0">
                <a:solidFill>
                  <a:schemeClr val="lt1">
                    <a:lumMod val="85000"/>
                  </a:schemeClr>
                </a:solidFill>
                <a:latin typeface="+mn-lt"/>
                <a:ea typeface="+mn-ea"/>
                <a:cs typeface="+mn-cs"/>
              </a:defRPr>
            </a:pPr>
            <a:endParaRPr lang="es-CO"/>
          </a:p>
        </c:txPr>
      </c:dTable>
      <c:spPr>
        <a:noFill/>
        <a:ln>
          <a:noFill/>
        </a:ln>
        <a:effectLst/>
      </c:spPr>
    </c:plotArea>
    <c:plotVisOnly val="1"/>
    <c:dispBlanksAs val="zero"/>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Encuestas</a:t>
            </a:r>
            <a:r>
              <a:rPr lang="es-ES" baseline="0"/>
              <a:t> de Satisfaccion</a:t>
            </a:r>
            <a:endParaRPr lang="es-ES"/>
          </a:p>
        </c:rich>
      </c:tx>
      <c:overlay val="0"/>
      <c:spPr>
        <a:noFill/>
        <a:ln>
          <a:noFill/>
        </a:ln>
        <a:effectLst/>
      </c:sp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'Encuestas de satisfacción'!$C$17:$N$17</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f>'Encuestas de satisfacción'!$C$18:$N$18</c:f>
              <c:numCache>
                <c:formatCode>General</c:formatCode>
                <c:ptCount val="12"/>
              </c:numCache>
            </c:numRef>
          </c:yVal>
          <c:smooth val="0"/>
          <c:extLst>
            <c:ext xmlns:c16="http://schemas.microsoft.com/office/drawing/2014/chart" uri="{C3380CC4-5D6E-409C-BE32-E72D297353CC}">
              <c16:uniqueId val="{00000000-36E4-4AEE-8D66-1029C8555617}"/>
            </c:ext>
          </c:extLst>
        </c:ser>
        <c:dLbls>
          <c:showLegendKey val="0"/>
          <c:showVal val="0"/>
          <c:showCatName val="0"/>
          <c:showSerName val="0"/>
          <c:showPercent val="0"/>
          <c:showBubbleSize val="0"/>
        </c:dLbls>
        <c:axId val="183406528"/>
        <c:axId val="183407104"/>
        <c:extLst>
          <c:ext xmlns:c15="http://schemas.microsoft.com/office/drawing/2012/chart" uri="{02D57815-91ED-43cb-92C2-25804820EDAC}">
            <c15:filteredScatterSeries>
              <c15: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extLst>
                      <c:ext uri="{02D57815-91ED-43cb-92C2-25804820EDAC}">
                        <c15:formulaRef>
                          <c15:sqref>'Encuestas de satisfacción'!$C$17:$N$17</c15:sqref>
                        </c15:formulaRef>
                      </c:ext>
                    </c:extLst>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extLst>
                      <c:ext uri="{02D57815-91ED-43cb-92C2-25804820EDAC}">
                        <c15:formulaRef>
                          <c15:sqref>'Encuestas de satisfacción'!$C$19:$N$19</c15:sqref>
                        </c15:formulaRef>
                      </c:ext>
                    </c:extLst>
                    <c:numCache>
                      <c:formatCode>0%</c:formatCode>
                      <c:ptCount val="12"/>
                    </c:numCache>
                  </c:numRef>
                </c:yVal>
                <c:smooth val="0"/>
                <c:extLst>
                  <c:ext xmlns:c16="http://schemas.microsoft.com/office/drawing/2014/chart" uri="{C3380CC4-5D6E-409C-BE32-E72D297353CC}">
                    <c16:uniqueId val="{00000001-36E4-4AEE-8D66-1029C8555617}"/>
                  </c:ext>
                </c:extLst>
              </c15:ser>
            </c15:filteredScatterSeries>
          </c:ext>
        </c:extLst>
      </c:scatterChart>
      <c:valAx>
        <c:axId val="183406528"/>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407104"/>
        <c:crosses val="autoZero"/>
        <c:crossBetween val="midCat"/>
      </c:valAx>
      <c:valAx>
        <c:axId val="183407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406528"/>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r>
              <a:rPr lang="es-CO"/>
              <a:t>CUMPLIMIENTO</a:t>
            </a:r>
            <a:r>
              <a:rPr lang="es-CO" baseline="0"/>
              <a:t> NORMATIVO 2022</a:t>
            </a:r>
            <a:endParaRPr lang="es-CO"/>
          </a:p>
        </c:rich>
      </c:tx>
      <c:overlay val="0"/>
      <c:spPr>
        <a:noFill/>
        <a:ln>
          <a:noFill/>
        </a:ln>
        <a:effectLst/>
      </c:spPr>
      <c:txPr>
        <a:bodyPr rot="0" spcFirstLastPara="1" vertOverflow="ellipsis" vert="horz" wrap="square" anchor="ctr" anchorCtr="1"/>
        <a:lstStyle/>
        <a:p>
          <a:pPr>
            <a:defRPr sz="1800" b="1" i="0" u="none" strike="noStrike" kern="1200" cap="all" spc="150" baseline="0">
              <a:solidFill>
                <a:schemeClr val="tx1">
                  <a:lumMod val="50000"/>
                  <a:lumOff val="50000"/>
                </a:schemeClr>
              </a:solidFill>
              <a:latin typeface="+mn-lt"/>
              <a:ea typeface="+mn-ea"/>
              <a:cs typeface="+mn-cs"/>
            </a:defRPr>
          </a:pPr>
          <a:endParaRPr lang="es-CO"/>
        </a:p>
      </c:txPr>
    </c:title>
    <c:autoTitleDeleted val="0"/>
    <c:plotArea>
      <c:layout/>
      <c:barChart>
        <c:barDir val="col"/>
        <c:grouping val="clustered"/>
        <c:varyColors val="0"/>
        <c:ser>
          <c:idx val="0"/>
          <c:order val="0"/>
          <c:tx>
            <c:strRef>
              <c:f>'Cumplimiento Legal '!$B$39</c:f>
              <c:strCache>
                <c:ptCount val="1"/>
                <c:pt idx="0">
                  <c:v>Cumplimiento Normativo SST</c:v>
                </c:pt>
              </c:strCache>
            </c:strRef>
          </c:tx>
          <c:spPr>
            <a:pattFill prst="narHorz">
              <a:fgClr>
                <a:schemeClr val="accent1"/>
              </a:fgClr>
              <a:bgClr>
                <a:schemeClr val="accent1">
                  <a:lumMod val="20000"/>
                  <a:lumOff val="80000"/>
                </a:schemeClr>
              </a:bgClr>
            </a:pattFill>
            <a:ln>
              <a:noFill/>
            </a:ln>
            <a:effectLst>
              <a:innerShdw blurRad="114300">
                <a:schemeClr val="accent1"/>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 Legal '!$C$38:$F$38</c:f>
              <c:strCache>
                <c:ptCount val="4"/>
                <c:pt idx="0">
                  <c:v>1er Trimestre</c:v>
                </c:pt>
                <c:pt idx="1">
                  <c:v>2do. Trimestre</c:v>
                </c:pt>
                <c:pt idx="2">
                  <c:v>3er. Trimestre</c:v>
                </c:pt>
                <c:pt idx="3">
                  <c:v>4to. Trimestre</c:v>
                </c:pt>
              </c:strCache>
            </c:strRef>
          </c:cat>
          <c:val>
            <c:numRef>
              <c:f>'Cumplimiento Legal '!$C$39:$F$39</c:f>
              <c:numCache>
                <c:formatCode>0%</c:formatCode>
                <c:ptCount val="4"/>
                <c:pt idx="0">
                  <c:v>1</c:v>
                </c:pt>
                <c:pt idx="1">
                  <c:v>1</c:v>
                </c:pt>
                <c:pt idx="2">
                  <c:v>0</c:v>
                </c:pt>
                <c:pt idx="3">
                  <c:v>0</c:v>
                </c:pt>
              </c:numCache>
            </c:numRef>
          </c:val>
          <c:extLst>
            <c:ext xmlns:c16="http://schemas.microsoft.com/office/drawing/2014/chart" uri="{C3380CC4-5D6E-409C-BE32-E72D297353CC}">
              <c16:uniqueId val="{00000000-CBF2-45E5-8E3F-06914B0AEA52}"/>
            </c:ext>
          </c:extLst>
        </c:ser>
        <c:ser>
          <c:idx val="1"/>
          <c:order val="1"/>
          <c:tx>
            <c:strRef>
              <c:f>'Cumplimiento Legal '!$B$40</c:f>
              <c:strCache>
                <c:ptCount val="1"/>
                <c:pt idx="0">
                  <c:v>Meta</c:v>
                </c:pt>
              </c:strCache>
            </c:strRef>
          </c:tx>
          <c:spPr>
            <a:pattFill prst="narHorz">
              <a:fgClr>
                <a:schemeClr val="accent2"/>
              </a:fgClr>
              <a:bgClr>
                <a:schemeClr val="accent2">
                  <a:lumMod val="20000"/>
                  <a:lumOff val="80000"/>
                </a:schemeClr>
              </a:bgClr>
            </a:pattFill>
            <a:ln>
              <a:noFill/>
            </a:ln>
            <a:effectLst>
              <a:innerShdw blurRad="114300">
                <a:schemeClr val="accent2"/>
              </a:innerShdw>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'Cumplimiento Legal '!$C$38:$F$38</c:f>
              <c:strCache>
                <c:ptCount val="4"/>
                <c:pt idx="0">
                  <c:v>1er Trimestre</c:v>
                </c:pt>
                <c:pt idx="1">
                  <c:v>2do. Trimestre</c:v>
                </c:pt>
                <c:pt idx="2">
                  <c:v>3er. Trimestre</c:v>
                </c:pt>
                <c:pt idx="3">
                  <c:v>4to. Trimestre</c:v>
                </c:pt>
              </c:strCache>
            </c:strRef>
          </c:cat>
          <c:val>
            <c:numRef>
              <c:f>'Cumplimiento Legal '!$C$40:$F$40</c:f>
              <c:numCache>
                <c:formatCode>0%</c:formatCode>
                <c:ptCount val="4"/>
                <c:pt idx="0">
                  <c:v>1</c:v>
                </c:pt>
                <c:pt idx="1">
                  <c:v>1</c:v>
                </c:pt>
                <c:pt idx="2">
                  <c:v>1</c:v>
                </c:pt>
                <c:pt idx="3">
                  <c:v>1</c:v>
                </c:pt>
              </c:numCache>
            </c:numRef>
          </c:val>
          <c:extLst>
            <c:ext xmlns:c16="http://schemas.microsoft.com/office/drawing/2014/chart" uri="{C3380CC4-5D6E-409C-BE32-E72D297353CC}">
              <c16:uniqueId val="{00000001-CBF2-45E5-8E3F-06914B0AEA52}"/>
            </c:ext>
          </c:extLst>
        </c:ser>
        <c:dLbls>
          <c:dLblPos val="inEnd"/>
          <c:showLegendKey val="0"/>
          <c:showVal val="1"/>
          <c:showCatName val="0"/>
          <c:showSerName val="0"/>
          <c:showPercent val="0"/>
          <c:showBubbleSize val="0"/>
        </c:dLbls>
        <c:gapWidth val="164"/>
        <c:overlap val="-22"/>
        <c:axId val="1255680303"/>
        <c:axId val="1242809599"/>
      </c:barChart>
      <c:catAx>
        <c:axId val="1255680303"/>
        <c:scaling>
          <c:orientation val="minMax"/>
        </c:scaling>
        <c:delete val="0"/>
        <c:axPos val="b"/>
        <c:numFmt formatCode="General" sourceLinked="1"/>
        <c:majorTickMark val="none"/>
        <c:minorTickMark val="none"/>
        <c:tickLblPos val="nextTo"/>
        <c:spPr>
          <a:noFill/>
          <a:ln w="19050"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42809599"/>
        <c:crosses val="autoZero"/>
        <c:auto val="1"/>
        <c:lblAlgn val="ctr"/>
        <c:lblOffset val="100"/>
        <c:noMultiLvlLbl val="0"/>
      </c:catAx>
      <c:valAx>
        <c:axId val="1242809599"/>
        <c:scaling>
          <c:orientation val="minMax"/>
        </c:scaling>
        <c:delete val="0"/>
        <c:axPos val="l"/>
        <c:title>
          <c:overlay val="0"/>
          <c:spPr>
            <a:noFill/>
            <a:ln>
              <a:noFill/>
            </a:ln>
            <a:effectLst/>
          </c:spPr>
          <c:txPr>
            <a:bodyPr rot="-54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s-CO"/>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255680303"/>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s-CO"/>
              <a:t>Cumplimiento PROGRAMA De CAPACITACIONES </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s-CO"/>
        </a:p>
      </c:txPr>
    </c:title>
    <c:autoTitleDeleted val="0"/>
    <c:plotArea>
      <c:layout/>
      <c:lineChart>
        <c:grouping val="standard"/>
        <c:varyColors val="0"/>
        <c:ser>
          <c:idx val="0"/>
          <c:order val="0"/>
          <c:tx>
            <c:strRef>
              <c:f>'Cumplimiento Capacitaciones'!$A$20</c:f>
              <c:strCache>
                <c:ptCount val="1"/>
                <c:pt idx="0">
                  <c:v>CALCULO DEL INDICADOR </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'Cumplimiento Capacitaciones'!$C$18:$N$18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'Cumplimiento Capacitaciones'!$C$20:$N$20</c:f>
              <c:numCache>
                <c:formatCode>0%</c:formatCode>
                <c:ptCount val="12"/>
                <c:pt idx="0">
                  <c:v>1</c:v>
                </c:pt>
                <c:pt idx="1">
                  <c:v>1</c:v>
                </c:pt>
                <c:pt idx="2">
                  <c:v>1</c:v>
                </c:pt>
                <c:pt idx="3">
                  <c:v>1</c:v>
                </c:pt>
                <c:pt idx="4">
                  <c:v>1</c:v>
                </c:pt>
                <c:pt idx="5">
                  <c:v>1</c:v>
                </c:pt>
                <c:pt idx="6">
                  <c:v>1</c:v>
                </c:pt>
                <c:pt idx="7">
                  <c:v>0.92307692307692313</c:v>
                </c:pt>
                <c:pt idx="8">
                  <c:v>1</c:v>
                </c:pt>
                <c:pt idx="9">
                  <c:v>0</c:v>
                </c:pt>
                <c:pt idx="10">
                  <c:v>0</c:v>
                </c:pt>
                <c:pt idx="11">
                  <c:v>0</c:v>
                </c:pt>
              </c:numCache>
            </c:numRef>
          </c:val>
          <c:smooth val="0"/>
          <c:extLst>
            <c:ext xmlns:c16="http://schemas.microsoft.com/office/drawing/2014/chart" uri="{C3380CC4-5D6E-409C-BE32-E72D297353CC}">
              <c16:uniqueId val="{00000000-062B-46A6-8E21-107C834EB31B}"/>
            </c:ext>
          </c:extLst>
        </c:ser>
        <c:ser>
          <c:idx val="1"/>
          <c:order val="1"/>
          <c:tx>
            <c:strRef>
              <c:f>'Cumplimiento Capacitaciones'!$A$21</c:f>
              <c:strCache>
                <c:ptCount val="1"/>
                <c:pt idx="0">
                  <c:v>CUMPLIMIENTO DE LA META</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'Cumplimiento Capacitaciones'!$C$18:$N$18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'Cumplimiento Capacitaciones'!$C$21:$N$21</c:f>
              <c:numCache>
                <c:formatCode>0%</c:formatCode>
                <c:ptCount val="12"/>
                <c:pt idx="0">
                  <c:v>1</c:v>
                </c:pt>
                <c:pt idx="1">
                  <c:v>1</c:v>
                </c:pt>
                <c:pt idx="2">
                  <c:v>1</c:v>
                </c:pt>
                <c:pt idx="3">
                  <c:v>1</c:v>
                </c:pt>
                <c:pt idx="4">
                  <c:v>1</c:v>
                </c:pt>
                <c:pt idx="5">
                  <c:v>1</c:v>
                </c:pt>
                <c:pt idx="6">
                  <c:v>1</c:v>
                </c:pt>
                <c:pt idx="7">
                  <c:v>1</c:v>
                </c:pt>
                <c:pt idx="8">
                  <c:v>1</c:v>
                </c:pt>
              </c:numCache>
            </c:numRef>
          </c:val>
          <c:smooth val="0"/>
          <c:extLst>
            <c:ext xmlns:c16="http://schemas.microsoft.com/office/drawing/2014/chart" uri="{C3380CC4-5D6E-409C-BE32-E72D297353CC}">
              <c16:uniqueId val="{00000001-062B-46A6-8E21-107C834EB31B}"/>
            </c:ext>
          </c:extLst>
        </c:ser>
        <c:dLbls>
          <c:dLblPos val="ctr"/>
          <c:showLegendKey val="0"/>
          <c:showVal val="1"/>
          <c:showCatName val="0"/>
          <c:showSerName val="0"/>
          <c:showPercent val="0"/>
          <c:showBubbleSize val="0"/>
        </c:dLbls>
        <c:smooth val="0"/>
        <c:axId val="1244097839"/>
        <c:axId val="1134238479"/>
      </c:lineChart>
      <c:catAx>
        <c:axId val="1244097839"/>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1134238479"/>
        <c:crosses val="autoZero"/>
        <c:auto val="1"/>
        <c:lblAlgn val="ctr"/>
        <c:lblOffset val="100"/>
        <c:noMultiLvlLbl val="0"/>
      </c:catAx>
      <c:valAx>
        <c:axId val="1134238479"/>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1244097839"/>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Cobertura del programa de capacitaciones</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6.3821555023888032E-2"/>
          <c:y val="0.16268441368294959"/>
          <c:w val="0.91362942972001637"/>
          <c:h val="0.62512090154842714"/>
        </c:manualLayout>
      </c:layout>
      <c:lineChart>
        <c:grouping val="standard"/>
        <c:varyColors val="0"/>
        <c:ser>
          <c:idx val="0"/>
          <c:order val="0"/>
          <c:tx>
            <c:strRef>
              <c:f>Cobertura!$A$20</c:f>
              <c:strCache>
                <c:ptCount val="1"/>
                <c:pt idx="0">
                  <c:v>CALCULO DEL INDICADOR </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dLbl>
              <c:idx val="3"/>
              <c:layout>
                <c:manualLayout>
                  <c:x val="-2.8707826017479926E-2"/>
                  <c:y val="4.95851634943874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E8E7-4C97-AC77-64B62F1AB82E}"/>
                </c:ext>
              </c:extLst>
            </c:dLbl>
            <c:dLbl>
              <c:idx val="4"/>
              <c:layout>
                <c:manualLayout>
                  <c:x val="-3.2465995226829254E-2"/>
                  <c:y val="-3.1554194950973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E8E7-4C97-AC77-64B62F1AB82E}"/>
                </c:ext>
              </c:extLst>
            </c:dLbl>
            <c:dLbl>
              <c:idx val="5"/>
              <c:layout>
                <c:manualLayout>
                  <c:x val="-3.4345079831503818E-2"/>
                  <c:y val="4.056967922268064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E8E7-4C97-AC77-64B62F1AB82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Cobertura!$C$18:$N$18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Cobertura!$C$20:$N$20</c:f>
              <c:numCache>
                <c:formatCode>0%</c:formatCode>
                <c:ptCount val="12"/>
                <c:pt idx="0">
                  <c:v>1</c:v>
                </c:pt>
                <c:pt idx="1">
                  <c:v>1</c:v>
                </c:pt>
                <c:pt idx="2">
                  <c:v>1</c:v>
                </c:pt>
                <c:pt idx="3">
                  <c:v>0.875</c:v>
                </c:pt>
                <c:pt idx="4">
                  <c:v>0.91304347826086951</c:v>
                </c:pt>
                <c:pt idx="5">
                  <c:v>0.875</c:v>
                </c:pt>
                <c:pt idx="6">
                  <c:v>1</c:v>
                </c:pt>
                <c:pt idx="7">
                  <c:v>0.77419354838709675</c:v>
                </c:pt>
                <c:pt idx="8">
                  <c:v>0.78947368421052633</c:v>
                </c:pt>
                <c:pt idx="9">
                  <c:v>0</c:v>
                </c:pt>
                <c:pt idx="10">
                  <c:v>0</c:v>
                </c:pt>
                <c:pt idx="11">
                  <c:v>0</c:v>
                </c:pt>
              </c:numCache>
            </c:numRef>
          </c:val>
          <c:smooth val="0"/>
          <c:extLst>
            <c:ext xmlns:c16="http://schemas.microsoft.com/office/drawing/2014/chart" uri="{C3380CC4-5D6E-409C-BE32-E72D297353CC}">
              <c16:uniqueId val="{00000000-2B8D-4471-871C-BBC9D1681B38}"/>
            </c:ext>
          </c:extLst>
        </c:ser>
        <c:ser>
          <c:idx val="1"/>
          <c:order val="1"/>
          <c:tx>
            <c:strRef>
              <c:f>Cobertura!$A$21</c:f>
              <c:strCache>
                <c:ptCount val="1"/>
                <c:pt idx="0">
                  <c:v>CUMPLIMIENTO DE LA META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dLbls>
            <c:dLbl>
              <c:idx val="3"/>
              <c:layout>
                <c:manualLayout>
                  <c:x val="-3.2465995226829254E-2"/>
                  <c:y val="4.50774213585336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E8E7-4C97-AC77-64B62F1AB82E}"/>
                </c:ext>
              </c:extLst>
            </c:dLbl>
            <c:dLbl>
              <c:idx val="4"/>
              <c:layout>
                <c:manualLayout>
                  <c:x val="-3.0586910622154625E-2"/>
                  <c:y val="4.507742135853368E-3"/>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E8E7-4C97-AC77-64B62F1AB82E}"/>
                </c:ext>
              </c:extLst>
            </c:dLbl>
            <c:dLbl>
              <c:idx val="5"/>
              <c:layout>
                <c:manualLayout>
                  <c:x val="-3.0586910622154625E-2"/>
                  <c:y val="-4.1320492240803876E-17"/>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E8E7-4C97-AC77-64B62F1AB82E}"/>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Cobertura!$C$18:$N$18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Cobertura!$C$21:$N$21</c:f>
              <c:numCache>
                <c:formatCode>0%</c:formatCode>
                <c:ptCount val="12"/>
                <c:pt idx="0">
                  <c:v>1</c:v>
                </c:pt>
                <c:pt idx="1">
                  <c:v>1</c:v>
                </c:pt>
                <c:pt idx="2">
                  <c:v>1</c:v>
                </c:pt>
                <c:pt idx="3">
                  <c:v>0.9</c:v>
                </c:pt>
                <c:pt idx="4">
                  <c:v>0.9</c:v>
                </c:pt>
                <c:pt idx="5">
                  <c:v>0.9</c:v>
                </c:pt>
                <c:pt idx="6">
                  <c:v>1</c:v>
                </c:pt>
                <c:pt idx="7">
                  <c:v>0.9</c:v>
                </c:pt>
                <c:pt idx="8">
                  <c:v>0.9</c:v>
                </c:pt>
                <c:pt idx="9">
                  <c:v>0.9</c:v>
                </c:pt>
                <c:pt idx="10">
                  <c:v>0.9</c:v>
                </c:pt>
                <c:pt idx="11">
                  <c:v>0.9</c:v>
                </c:pt>
              </c:numCache>
            </c:numRef>
          </c:val>
          <c:smooth val="0"/>
          <c:extLst>
            <c:ext xmlns:c16="http://schemas.microsoft.com/office/drawing/2014/chart" uri="{C3380CC4-5D6E-409C-BE32-E72D297353CC}">
              <c16:uniqueId val="{00000001-2B8D-4471-871C-BBC9D1681B38}"/>
            </c:ext>
          </c:extLst>
        </c:ser>
        <c:dLbls>
          <c:dLblPos val="ctr"/>
          <c:showLegendKey val="0"/>
          <c:showVal val="1"/>
          <c:showCatName val="0"/>
          <c:showSerName val="0"/>
          <c:showPercent val="0"/>
          <c:showBubbleSize val="0"/>
        </c:dLbls>
        <c:smooth val="0"/>
        <c:axId val="1244054639"/>
        <c:axId val="1252910831"/>
      </c:lineChart>
      <c:catAx>
        <c:axId val="1244054639"/>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52910831"/>
        <c:crosses val="autoZero"/>
        <c:auto val="1"/>
        <c:lblAlgn val="ctr"/>
        <c:lblOffset val="100"/>
        <c:noMultiLvlLbl val="0"/>
      </c:catAx>
      <c:valAx>
        <c:axId val="1252910831"/>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4405463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Eficacia Capacitaciones Por Areas (%)</a:t>
            </a:r>
          </a:p>
        </c:rich>
      </c:tx>
      <c:overlay val="0"/>
      <c:spPr>
        <a:noFill/>
        <a:ln>
          <a:noFill/>
        </a:ln>
        <a:effectLst/>
      </c:spPr>
    </c:title>
    <c:autoTitleDeleted val="0"/>
    <c:plotArea>
      <c:layout/>
      <c:barChart>
        <c:barDir val="col"/>
        <c:grouping val="clustered"/>
        <c:varyColors val="0"/>
        <c:ser>
          <c:idx val="0"/>
          <c:order val="0"/>
          <c:tx>
            <c:strRef>
              <c:f>[2]Resultado!$A$10</c:f>
              <c:strCache>
                <c:ptCount val="1"/>
                <c:pt idx="0">
                  <c:v>Eficacia Capacitaciones (%)</c:v>
                </c:pt>
              </c:strCache>
            </c:strRef>
          </c:tx>
          <c:spPr>
            <a:solidFill>
              <a:schemeClr val="accent1"/>
            </a:solidFill>
            <a:ln>
              <a:solidFill>
                <a:schemeClr val="tx1"/>
              </a:solidFill>
            </a:ln>
            <a:effectLst/>
          </c:spPr>
          <c:invertIfNegative val="0"/>
          <c:dPt>
            <c:idx val="0"/>
            <c:invertIfNegative val="0"/>
            <c:bubble3D val="0"/>
            <c:spPr>
              <a:solidFill>
                <a:srgbClr val="FFFF00"/>
              </a:solidFill>
              <a:ln>
                <a:solidFill>
                  <a:schemeClr val="tx1"/>
                </a:solidFill>
              </a:ln>
              <a:effectLst/>
            </c:spPr>
            <c:extLst>
              <c:ext xmlns:c16="http://schemas.microsoft.com/office/drawing/2014/chart" uri="{C3380CC4-5D6E-409C-BE32-E72D297353CC}">
                <c16:uniqueId val="{00000001-507B-4BEF-8DEB-C4F55BC85A6B}"/>
              </c:ext>
            </c:extLst>
          </c:dPt>
          <c:dPt>
            <c:idx val="1"/>
            <c:invertIfNegative val="0"/>
            <c:bubble3D val="0"/>
            <c:spPr>
              <a:solidFill>
                <a:srgbClr val="00B050"/>
              </a:solidFill>
              <a:ln>
                <a:solidFill>
                  <a:schemeClr val="tx1"/>
                </a:solidFill>
              </a:ln>
              <a:effectLst/>
            </c:spPr>
            <c:extLst>
              <c:ext xmlns:c16="http://schemas.microsoft.com/office/drawing/2014/chart" uri="{C3380CC4-5D6E-409C-BE32-E72D297353CC}">
                <c16:uniqueId val="{00000003-507B-4BEF-8DEB-C4F55BC85A6B}"/>
              </c:ext>
            </c:extLst>
          </c:dPt>
          <c:dPt>
            <c:idx val="2"/>
            <c:invertIfNegative val="0"/>
            <c:bubble3D val="0"/>
            <c:spPr>
              <a:solidFill>
                <a:srgbClr val="7030A0"/>
              </a:solidFill>
              <a:ln>
                <a:solidFill>
                  <a:schemeClr val="tx1"/>
                </a:solidFill>
              </a:ln>
              <a:effectLst/>
            </c:spPr>
            <c:extLst>
              <c:ext xmlns:c16="http://schemas.microsoft.com/office/drawing/2014/chart" uri="{C3380CC4-5D6E-409C-BE32-E72D297353CC}">
                <c16:uniqueId val="{00000005-507B-4BEF-8DEB-C4F55BC85A6B}"/>
              </c:ext>
            </c:extLst>
          </c:dPt>
          <c:dPt>
            <c:idx val="3"/>
            <c:invertIfNegative val="0"/>
            <c:bubble3D val="0"/>
            <c:spPr>
              <a:solidFill>
                <a:srgbClr val="FFC000"/>
              </a:solidFill>
              <a:ln>
                <a:solidFill>
                  <a:schemeClr val="tx1"/>
                </a:solidFill>
              </a:ln>
              <a:effectLst/>
            </c:spPr>
            <c:extLst>
              <c:ext xmlns:c16="http://schemas.microsoft.com/office/drawing/2014/chart" uri="{C3380CC4-5D6E-409C-BE32-E72D297353CC}">
                <c16:uniqueId val="{00000007-507B-4BEF-8DEB-C4F55BC85A6B}"/>
              </c:ext>
            </c:extLst>
          </c:dPt>
          <c:dPt>
            <c:idx val="4"/>
            <c:invertIfNegative val="0"/>
            <c:bubble3D val="0"/>
            <c:spPr>
              <a:solidFill>
                <a:schemeClr val="accent6"/>
              </a:solidFill>
              <a:ln>
                <a:solidFill>
                  <a:schemeClr val="tx1"/>
                </a:solidFill>
              </a:ln>
              <a:effectLst/>
            </c:spPr>
            <c:extLst>
              <c:ext xmlns:c16="http://schemas.microsoft.com/office/drawing/2014/chart" uri="{C3380CC4-5D6E-409C-BE32-E72D297353CC}">
                <c16:uniqueId val="{00000009-507B-4BEF-8DEB-C4F55BC85A6B}"/>
              </c:ext>
            </c:extLst>
          </c:dPt>
          <c:dPt>
            <c:idx val="5"/>
            <c:invertIfNegative val="0"/>
            <c:bubble3D val="0"/>
            <c:spPr>
              <a:solidFill>
                <a:schemeClr val="tx2">
                  <a:lumMod val="75000"/>
                </a:schemeClr>
              </a:solidFill>
              <a:ln>
                <a:solidFill>
                  <a:schemeClr val="tx1"/>
                </a:solidFill>
              </a:ln>
              <a:effectLst/>
            </c:spPr>
            <c:extLst>
              <c:ext xmlns:c16="http://schemas.microsoft.com/office/drawing/2014/chart" uri="{C3380CC4-5D6E-409C-BE32-E72D297353CC}">
                <c16:uniqueId val="{0000000B-507B-4BEF-8DEB-C4F55BC85A6B}"/>
              </c:ext>
            </c:extLst>
          </c:dPt>
          <c:cat>
            <c:strRef>
              <c:f>[2]Resultado!$B$3:$G$3</c:f>
              <c:strCache>
                <c:ptCount val="6"/>
                <c:pt idx="0">
                  <c:v>Administrativo</c:v>
                </c:pt>
                <c:pt idx="1">
                  <c:v>Comercial</c:v>
                </c:pt>
                <c:pt idx="2">
                  <c:v>Contabilidad</c:v>
                </c:pt>
                <c:pt idx="3">
                  <c:v>Fontaneria</c:v>
                </c:pt>
                <c:pt idx="4">
                  <c:v>Operativa Potable</c:v>
                </c:pt>
                <c:pt idx="5">
                  <c:v>Operativa Residual</c:v>
                </c:pt>
              </c:strCache>
            </c:strRef>
          </c:cat>
          <c:val>
            <c:numRef>
              <c:f>[2]Resultado!$B$10:$G$10</c:f>
              <c:numCache>
                <c:formatCode>General</c:formatCode>
                <c:ptCount val="6"/>
                <c:pt idx="0">
                  <c:v>1</c:v>
                </c:pt>
                <c:pt idx="1">
                  <c:v>1</c:v>
                </c:pt>
                <c:pt idx="2">
                  <c:v>1</c:v>
                </c:pt>
                <c:pt idx="3">
                  <c:v>0.80000000000000016</c:v>
                </c:pt>
                <c:pt idx="4">
                  <c:v>1</c:v>
                </c:pt>
                <c:pt idx="5">
                  <c:v>0.97333333333333327</c:v>
                </c:pt>
              </c:numCache>
            </c:numRef>
          </c:val>
          <c:extLst>
            <c:ext xmlns:c16="http://schemas.microsoft.com/office/drawing/2014/chart" uri="{C3380CC4-5D6E-409C-BE32-E72D297353CC}">
              <c16:uniqueId val="{0000000C-507B-4BEF-8DEB-C4F55BC85A6B}"/>
            </c:ext>
          </c:extLst>
        </c:ser>
        <c:dLbls>
          <c:showLegendKey val="0"/>
          <c:showVal val="0"/>
          <c:showCatName val="0"/>
          <c:showSerName val="0"/>
          <c:showPercent val="0"/>
          <c:showBubbleSize val="0"/>
        </c:dLbls>
        <c:gapWidth val="219"/>
        <c:overlap val="-27"/>
        <c:axId val="825768968"/>
        <c:axId val="1"/>
      </c:barChart>
      <c:catAx>
        <c:axId val="8257689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
        <c:crosses val="autoZero"/>
        <c:auto val="1"/>
        <c:lblAlgn val="ctr"/>
        <c:lblOffset val="100"/>
        <c:noMultiLvlLbl val="0"/>
      </c:catAx>
      <c:valAx>
        <c:axId val="1"/>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825768968"/>
        <c:crosses val="autoZero"/>
        <c:crossBetween val="between"/>
      </c:valAx>
      <c:dTable>
        <c:showHorzBorder val="1"/>
        <c:showVertBorder val="1"/>
        <c:showOutline val="1"/>
        <c:showKeys val="1"/>
        <c:spPr>
          <a:noFill/>
          <a:ln w="9525" cap="flat" cmpd="sng" algn="ctr">
            <a:solidFill>
              <a:schemeClr val="tx1">
                <a:lumMod val="15000"/>
                <a:lumOff val="85000"/>
              </a:schemeClr>
            </a:solidFill>
            <a:round/>
          </a:ln>
          <a:effectLst/>
        </c:spPr>
        <c:txPr>
          <a:bodyPr rot="0" spcFirstLastPara="1" vertOverflow="ellipsis" vert="horz" wrap="square" anchor="ctr" anchorCtr="1"/>
          <a:lstStyle/>
          <a:p>
            <a:pPr rtl="0">
              <a:defRPr sz="900" b="0" i="0" u="none" strike="noStrike" kern="1200" baseline="0">
                <a:solidFill>
                  <a:schemeClr val="tx1">
                    <a:lumMod val="65000"/>
                    <a:lumOff val="35000"/>
                  </a:schemeClr>
                </a:solidFill>
                <a:latin typeface="+mn-lt"/>
                <a:ea typeface="+mn-ea"/>
                <a:cs typeface="+mn-cs"/>
              </a:defRPr>
            </a:pPr>
            <a:endParaRPr lang="es-CO"/>
          </a:p>
        </c:txPr>
      </c:dTable>
      <c:spPr>
        <a:noFill/>
        <a:ln w="25400">
          <a:noFill/>
        </a:ln>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CO"/>
              <a:t>Eficacia</a:t>
            </a:r>
            <a:r>
              <a:rPr lang="es-CO" baseline="0"/>
              <a:t> de las capacitaciones</a:t>
            </a:r>
            <a:endParaRPr lang="es-CO"/>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'Eficacia capac'!$A$20</c:f>
              <c:strCache>
                <c:ptCount val="1"/>
                <c:pt idx="0">
                  <c:v>CALCULO DEL INDICADOR </c:v>
                </c:pt>
              </c:strCache>
            </c:strRef>
          </c:tx>
          <c:spPr>
            <a:ln w="28575" cap="rnd">
              <a:solidFill>
                <a:schemeClr val="accent1"/>
              </a:solidFill>
              <a:round/>
            </a:ln>
            <a:effectLst/>
          </c:spPr>
          <c:marker>
            <c:symbol val="none"/>
          </c:marker>
          <c:cat>
            <c:strRef>
              <c:f>'Eficacia capac'!$C$19:$N$19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'Eficacia capac'!$C$20:$M$20</c:f>
              <c:numCache>
                <c:formatCode>0%</c:formatCode>
                <c:ptCount val="11"/>
                <c:pt idx="0">
                  <c:v>0</c:v>
                </c:pt>
                <c:pt idx="1">
                  <c:v>0</c:v>
                </c:pt>
                <c:pt idx="2">
                  <c:v>0</c:v>
                </c:pt>
                <c:pt idx="3">
                  <c:v>0</c:v>
                </c:pt>
                <c:pt idx="4">
                  <c:v>0</c:v>
                </c:pt>
                <c:pt idx="5">
                  <c:v>0</c:v>
                </c:pt>
                <c:pt idx="6">
                  <c:v>0</c:v>
                </c:pt>
                <c:pt idx="7">
                  <c:v>0</c:v>
                </c:pt>
                <c:pt idx="8">
                  <c:v>0</c:v>
                </c:pt>
                <c:pt idx="9">
                  <c:v>0</c:v>
                </c:pt>
                <c:pt idx="10">
                  <c:v>0.96</c:v>
                </c:pt>
              </c:numCache>
            </c:numRef>
          </c:val>
          <c:smooth val="0"/>
          <c:extLst>
            <c:ext xmlns:c16="http://schemas.microsoft.com/office/drawing/2014/chart" uri="{C3380CC4-5D6E-409C-BE32-E72D297353CC}">
              <c16:uniqueId val="{00000000-CBDB-41DB-80E1-78CCFA179788}"/>
            </c:ext>
          </c:extLst>
        </c:ser>
        <c:ser>
          <c:idx val="1"/>
          <c:order val="1"/>
          <c:tx>
            <c:strRef>
              <c:f>'Eficacia capac'!$A$21</c:f>
              <c:strCache>
                <c:ptCount val="1"/>
                <c:pt idx="0">
                  <c:v>CUMPLIMIENTO DE LA META</c:v>
                </c:pt>
              </c:strCache>
            </c:strRef>
          </c:tx>
          <c:spPr>
            <a:ln w="28575" cap="rnd">
              <a:solidFill>
                <a:schemeClr val="accent2"/>
              </a:solidFill>
              <a:round/>
            </a:ln>
            <a:effectLst/>
          </c:spPr>
          <c:marker>
            <c:symbol val="none"/>
          </c:marker>
          <c:cat>
            <c:strRef>
              <c:f>'Eficacia capac'!$C$19:$N$19</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'Eficacia capac'!$C$21:$M$21</c:f>
              <c:numCache>
                <c:formatCode>0%</c:formatCode>
                <c:ptCount val="11"/>
                <c:pt idx="0">
                  <c:v>0.9</c:v>
                </c:pt>
                <c:pt idx="1">
                  <c:v>0.9</c:v>
                </c:pt>
                <c:pt idx="2">
                  <c:v>0.9</c:v>
                </c:pt>
                <c:pt idx="3">
                  <c:v>0.9</c:v>
                </c:pt>
                <c:pt idx="4">
                  <c:v>0.9</c:v>
                </c:pt>
                <c:pt idx="5">
                  <c:v>0.9</c:v>
                </c:pt>
                <c:pt idx="6">
                  <c:v>0.9</c:v>
                </c:pt>
                <c:pt idx="7">
                  <c:v>0.9</c:v>
                </c:pt>
                <c:pt idx="8">
                  <c:v>0.9</c:v>
                </c:pt>
                <c:pt idx="9">
                  <c:v>0.9</c:v>
                </c:pt>
                <c:pt idx="10">
                  <c:v>0.9</c:v>
                </c:pt>
              </c:numCache>
            </c:numRef>
          </c:val>
          <c:smooth val="0"/>
          <c:extLst>
            <c:ext xmlns:c16="http://schemas.microsoft.com/office/drawing/2014/chart" uri="{C3380CC4-5D6E-409C-BE32-E72D297353CC}">
              <c16:uniqueId val="{00000001-CBDB-41DB-80E1-78CCFA179788}"/>
            </c:ext>
          </c:extLst>
        </c:ser>
        <c:dLbls>
          <c:showLegendKey val="0"/>
          <c:showVal val="0"/>
          <c:showCatName val="0"/>
          <c:showSerName val="0"/>
          <c:showPercent val="0"/>
          <c:showBubbleSize val="0"/>
        </c:dLbls>
        <c:smooth val="0"/>
        <c:axId val="467495608"/>
        <c:axId val="467496248"/>
      </c:lineChart>
      <c:catAx>
        <c:axId val="4674956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7496248"/>
        <c:crosses val="autoZero"/>
        <c:auto val="1"/>
        <c:lblAlgn val="ctr"/>
        <c:lblOffset val="100"/>
        <c:noMultiLvlLbl val="0"/>
      </c:catAx>
      <c:valAx>
        <c:axId val="46749624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467495608"/>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DESEMPEÑO</a:t>
            </a:r>
            <a:r>
              <a:rPr lang="es-CO" baseline="0"/>
              <a:t> DE PROVEEDORES </a:t>
            </a:r>
            <a:endParaRPr lang="es-CO"/>
          </a:p>
        </c:rich>
      </c:tx>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view3D>
      <c:rotX val="0"/>
      <c:rotY val="0"/>
      <c:depthPercent val="60"/>
      <c:rAngAx val="0"/>
      <c:perspective val="100"/>
    </c:view3D>
    <c:floor>
      <c:thickness val="0"/>
      <c:spPr>
        <a:solidFill>
          <a:schemeClr val="lt1">
            <a:lumMod val="95000"/>
          </a:schemeClr>
        </a:solidFill>
        <a:ln>
          <a:noFill/>
        </a:ln>
        <a:effectLst/>
        <a:sp3d/>
      </c:spPr>
    </c:floor>
    <c:sideWall>
      <c:thickness val="0"/>
      <c:spPr>
        <a:noFill/>
        <a:ln>
          <a:noFill/>
        </a:ln>
        <a:effectLst/>
        <a:sp3d/>
      </c:spPr>
    </c:sideWall>
    <c:backWall>
      <c:thickness val="0"/>
      <c:spPr>
        <a:noFill/>
        <a:ln>
          <a:noFill/>
        </a:ln>
        <a:effectLst/>
        <a:sp3d/>
      </c:spPr>
    </c:backWall>
    <c:plotArea>
      <c:layout/>
      <c:bar3DChart>
        <c:barDir val="col"/>
        <c:grouping val="clustered"/>
        <c:varyColors val="0"/>
        <c:ser>
          <c:idx val="0"/>
          <c:order val="0"/>
          <c:spPr>
            <a:solidFill>
              <a:schemeClr val="accent1">
                <a:alpha val="85000"/>
              </a:schemeClr>
            </a:solidFill>
            <a:ln w="9525" cap="flat" cmpd="sng" algn="ctr">
              <a:solidFill>
                <a:schemeClr val="accent1">
                  <a:lumMod val="75000"/>
                </a:schemeClr>
              </a:solidFill>
              <a:round/>
            </a:ln>
            <a:effectLst/>
            <a:sp3d contourW="9525">
              <a:contourClr>
                <a:schemeClr val="accent1">
                  <a:lumMod val="75000"/>
                </a:schemeClr>
              </a:contourClr>
            </a:sp3d>
          </c:spPr>
          <c:invertIfNegative val="0"/>
          <c:dLbls>
            <c:dLbl>
              <c:idx val="0"/>
              <c:layout>
                <c:manualLayout>
                  <c:x val="-5.5555555555555558E-3"/>
                  <c:y val="0"/>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03B-472C-8CCE-D43A732044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'Desemp de Proveedores '!$C$20:$N$20</c:f>
              <c:numCache>
                <c:formatCode>0%</c:formatCode>
                <c:ptCount val="12"/>
                <c:pt idx="0">
                  <c:v>0.91</c:v>
                </c:pt>
                <c:pt idx="3">
                  <c:v>0.97</c:v>
                </c:pt>
                <c:pt idx="6">
                  <c:v>0</c:v>
                </c:pt>
                <c:pt idx="9">
                  <c:v>0</c:v>
                </c:pt>
              </c:numCache>
            </c:numRef>
          </c:val>
          <c:extLst>
            <c:ext xmlns:c16="http://schemas.microsoft.com/office/drawing/2014/chart" uri="{C3380CC4-5D6E-409C-BE32-E72D297353CC}">
              <c16:uniqueId val="{00000000-B03B-472C-8CCE-D43A73204451}"/>
            </c:ext>
          </c:extLst>
        </c:ser>
        <c:ser>
          <c:idx val="1"/>
          <c:order val="1"/>
          <c:spPr>
            <a:solidFill>
              <a:schemeClr val="accent2">
                <a:alpha val="85000"/>
              </a:schemeClr>
            </a:solidFill>
            <a:ln w="9525" cap="flat" cmpd="sng" algn="ctr">
              <a:solidFill>
                <a:schemeClr val="accent2">
                  <a:lumMod val="75000"/>
                </a:schemeClr>
              </a:solidFill>
              <a:round/>
            </a:ln>
            <a:effectLst/>
            <a:sp3d contourW="9525">
              <a:contourClr>
                <a:schemeClr val="accent2">
                  <a:lumMod val="75000"/>
                </a:schemeClr>
              </a:contourClr>
            </a:sp3d>
          </c:spPr>
          <c:invertIfNegative val="0"/>
          <c:dLbls>
            <c:dLbl>
              <c:idx val="0"/>
              <c:layout>
                <c:manualLayout>
                  <c:x val="1.9444444444444445E-2"/>
                  <c:y val="-4.6296296296296294E-3"/>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03B-472C-8CCE-D43A732044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'Desemp de Proveedores '!$C$21:$N$21</c:f>
              <c:numCache>
                <c:formatCode>0%</c:formatCode>
                <c:ptCount val="12"/>
                <c:pt idx="0">
                  <c:v>0.9</c:v>
                </c:pt>
                <c:pt idx="3">
                  <c:v>0.9</c:v>
                </c:pt>
                <c:pt idx="6">
                  <c:v>0.9</c:v>
                </c:pt>
                <c:pt idx="9">
                  <c:v>0.9</c:v>
                </c:pt>
              </c:numCache>
            </c:numRef>
          </c:val>
          <c:extLst>
            <c:ext xmlns:c16="http://schemas.microsoft.com/office/drawing/2014/chart" uri="{C3380CC4-5D6E-409C-BE32-E72D297353CC}">
              <c16:uniqueId val="{00000001-B03B-472C-8CCE-D43A73204451}"/>
            </c:ext>
          </c:extLst>
        </c:ser>
        <c:dLbls>
          <c:showLegendKey val="0"/>
          <c:showVal val="1"/>
          <c:showCatName val="0"/>
          <c:showSerName val="0"/>
          <c:showPercent val="0"/>
          <c:showBubbleSize val="0"/>
        </c:dLbls>
        <c:gapWidth val="65"/>
        <c:shape val="box"/>
        <c:axId val="1180235904"/>
        <c:axId val="1180224672"/>
        <c:axId val="0"/>
      </c:bar3DChart>
      <c:catAx>
        <c:axId val="1180235904"/>
        <c:scaling>
          <c:orientation val="minMax"/>
        </c:scaling>
        <c:delete val="0"/>
        <c:axPos val="b"/>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1180224672"/>
        <c:crosses val="autoZero"/>
        <c:auto val="1"/>
        <c:lblAlgn val="ctr"/>
        <c:lblOffset val="100"/>
        <c:noMultiLvlLbl val="0"/>
      </c:catAx>
      <c:valAx>
        <c:axId val="1180224672"/>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1180235904"/>
        <c:crosses val="autoZero"/>
        <c:crossBetween val="between"/>
      </c:valAx>
      <c:spPr>
        <a:noFill/>
        <a:ln w="25400">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a:t>Eficacia</a:t>
            </a:r>
            <a:r>
              <a:rPr lang="es-CO" baseline="0"/>
              <a:t> de las capacitaciones</a:t>
            </a:r>
            <a:endParaRPr lang="es-CO"/>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lineChart>
        <c:grouping val="standard"/>
        <c:varyColors val="0"/>
        <c:ser>
          <c:idx val="0"/>
          <c:order val="0"/>
          <c:tx>
            <c:strRef>
              <c:f>Eficaciacap!$B$46</c:f>
              <c:strCache>
                <c:ptCount val="1"/>
                <c:pt idx="0">
                  <c:v>Eficacia de las capacitaciones</c:v>
                </c:pt>
              </c:strCache>
            </c:strRef>
          </c:tx>
          <c:spPr>
            <a:ln w="31750" cap="rnd">
              <a:solidFill>
                <a:schemeClr val="accent1"/>
              </a:solidFill>
              <a:round/>
            </a:ln>
            <a:effectLst/>
          </c:spPr>
          <c:marker>
            <c:symbol val="none"/>
          </c:marker>
          <c:cat>
            <c:strRef>
              <c:f>Eficaciacap!$C$45:$N$45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Eficaciacap!$C$46:$N$46</c:f>
              <c:numCache>
                <c:formatCode>0%</c:formatCode>
                <c:ptCount val="12"/>
                <c:pt idx="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356E-44B6-8937-0E4360F4A079}"/>
            </c:ext>
          </c:extLst>
        </c:ser>
        <c:ser>
          <c:idx val="1"/>
          <c:order val="1"/>
          <c:tx>
            <c:strRef>
              <c:f>Eficaciacap!$B$47</c:f>
              <c:strCache>
                <c:ptCount val="1"/>
                <c:pt idx="0">
                  <c:v>CUMPLIMIENTO DE LA META= (diligenciar fórmula)</c:v>
                </c:pt>
              </c:strCache>
            </c:strRef>
          </c:tx>
          <c:spPr>
            <a:ln w="31750" cap="rnd">
              <a:solidFill>
                <a:schemeClr val="accent2"/>
              </a:solidFill>
              <a:round/>
            </a:ln>
            <a:effectLst/>
          </c:spPr>
          <c:marker>
            <c:symbol val="none"/>
          </c:marker>
          <c:cat>
            <c:strRef>
              <c:f>Eficaciacap!$C$45:$N$45</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Eficaciacap!$C$47:$N$47</c:f>
              <c:numCache>
                <c:formatCode>0%</c:formatCode>
                <c:ptCount val="12"/>
                <c:pt idx="0">
                  <c:v>0.9</c:v>
                </c:pt>
                <c:pt idx="1">
                  <c:v>0.9</c:v>
                </c:pt>
                <c:pt idx="2">
                  <c:v>0.9</c:v>
                </c:pt>
                <c:pt idx="3">
                  <c:v>0.9</c:v>
                </c:pt>
                <c:pt idx="4">
                  <c:v>0.9</c:v>
                </c:pt>
                <c:pt idx="5">
                  <c:v>0.9</c:v>
                </c:pt>
                <c:pt idx="6">
                  <c:v>0.9</c:v>
                </c:pt>
                <c:pt idx="7">
                  <c:v>0.9</c:v>
                </c:pt>
                <c:pt idx="8">
                  <c:v>0.9</c:v>
                </c:pt>
                <c:pt idx="9">
                  <c:v>0.9</c:v>
                </c:pt>
                <c:pt idx="10">
                  <c:v>0.9</c:v>
                </c:pt>
                <c:pt idx="11">
                  <c:v>0.9</c:v>
                </c:pt>
              </c:numCache>
            </c:numRef>
          </c:val>
          <c:smooth val="0"/>
          <c:extLst>
            <c:ext xmlns:c16="http://schemas.microsoft.com/office/drawing/2014/chart" uri="{C3380CC4-5D6E-409C-BE32-E72D297353CC}">
              <c16:uniqueId val="{00000001-356E-44B6-8937-0E4360F4A079}"/>
            </c:ext>
          </c:extLst>
        </c:ser>
        <c:dLbls>
          <c:showLegendKey val="0"/>
          <c:showVal val="0"/>
          <c:showCatName val="0"/>
          <c:showSerName val="0"/>
          <c:showPercent val="0"/>
          <c:showBubbleSize val="0"/>
        </c:dLbls>
        <c:smooth val="0"/>
        <c:axId val="1023660831"/>
        <c:axId val="938436687"/>
      </c:lineChart>
      <c:catAx>
        <c:axId val="1023660831"/>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938436687"/>
        <c:crosses val="autoZero"/>
        <c:auto val="1"/>
        <c:lblAlgn val="ctr"/>
        <c:lblOffset val="100"/>
        <c:noMultiLvlLbl val="0"/>
      </c:catAx>
      <c:valAx>
        <c:axId val="938436687"/>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02366083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Tasa de Accidentalidad</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6.5211015021999719E-2"/>
          <c:y val="0.17935483870967742"/>
          <c:w val="0.9090718772133497"/>
          <c:h val="0.59090377143717254"/>
        </c:manualLayout>
      </c:layout>
      <c:lineChart>
        <c:grouping val="standard"/>
        <c:varyColors val="0"/>
        <c:ser>
          <c:idx val="0"/>
          <c:order val="0"/>
          <c:tx>
            <c:strRef>
              <c:f>'Tasa de Accidentalidad '!$A$20</c:f>
              <c:strCache>
                <c:ptCount val="1"/>
                <c:pt idx="0">
                  <c:v>CALCULO DEL INDICADOR </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'Tasa de Accidentalidad '!$C$18:$N$18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'Tasa de Accidentalidad '!$C$20:$N$20</c:f>
              <c:numCache>
                <c:formatCode>0%</c:formatCode>
                <c:ptCount val="12"/>
                <c:pt idx="0">
                  <c:v>1</c:v>
                </c:pt>
                <c:pt idx="1">
                  <c:v>1</c:v>
                </c:pt>
                <c:pt idx="2">
                  <c:v>1</c:v>
                </c:pt>
                <c:pt idx="3">
                  <c:v>1</c:v>
                </c:pt>
                <c:pt idx="4">
                  <c:v>1</c:v>
                </c:pt>
                <c:pt idx="5">
                  <c:v>1</c:v>
                </c:pt>
                <c:pt idx="6">
                  <c:v>1</c:v>
                </c:pt>
                <c:pt idx="7">
                  <c:v>0</c:v>
                </c:pt>
                <c:pt idx="8">
                  <c:v>0</c:v>
                </c:pt>
                <c:pt idx="9">
                  <c:v>0</c:v>
                </c:pt>
                <c:pt idx="10">
                  <c:v>0</c:v>
                </c:pt>
                <c:pt idx="11">
                  <c:v>0</c:v>
                </c:pt>
              </c:numCache>
            </c:numRef>
          </c:val>
          <c:smooth val="0"/>
          <c:extLst>
            <c:ext xmlns:c16="http://schemas.microsoft.com/office/drawing/2014/chart" uri="{C3380CC4-5D6E-409C-BE32-E72D297353CC}">
              <c16:uniqueId val="{00000000-8376-439F-9F97-86F91921244E}"/>
            </c:ext>
          </c:extLst>
        </c:ser>
        <c:ser>
          <c:idx val="1"/>
          <c:order val="1"/>
          <c:tx>
            <c:strRef>
              <c:f>'Tasa de Accidentalidad '!$A$21</c:f>
              <c:strCache>
                <c:ptCount val="1"/>
                <c:pt idx="0">
                  <c:v>CUMPLIMIENTO DE LA META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dLbls>
            <c:dLbl>
              <c:idx val="0"/>
              <c:layout>
                <c:manualLayout>
                  <c:x val="-3.4179142163891341E-2"/>
                  <c:y val="4.7789725209080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AEDF-4231-805A-2526BE04908C}"/>
                </c:ext>
              </c:extLst>
            </c:dLbl>
            <c:dLbl>
              <c:idx val="1"/>
              <c:layout>
                <c:manualLayout>
                  <c:x val="-3.2200903105072065E-2"/>
                  <c:y val="4.7789725209080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AEDF-4231-805A-2526BE04908C}"/>
                </c:ext>
              </c:extLst>
            </c:dLbl>
            <c:dLbl>
              <c:idx val="2"/>
              <c:layout>
                <c:manualLayout>
                  <c:x val="-3.22009031050721E-2"/>
                  <c:y val="5.256869772998801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AEDF-4231-805A-2526BE04908C}"/>
                </c:ext>
              </c:extLst>
            </c:dLbl>
            <c:dLbl>
              <c:idx val="3"/>
              <c:layout>
                <c:manualLayout>
                  <c:x val="-3.6157381222710581E-2"/>
                  <c:y val="4.30107526881719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AEDF-4231-805A-2526BE04908C}"/>
                </c:ext>
              </c:extLst>
            </c:dLbl>
            <c:dLbl>
              <c:idx val="4"/>
              <c:layout>
                <c:manualLayout>
                  <c:x val="-3.2200903105072134E-2"/>
                  <c:y val="4.7789725209080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AEDF-4231-805A-2526BE04908C}"/>
                </c:ext>
              </c:extLst>
            </c:dLbl>
            <c:dLbl>
              <c:idx val="5"/>
              <c:layout>
                <c:manualLayout>
                  <c:x val="-3.8135620281529968E-2"/>
                  <c:y val="4.778972520908005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AEDF-4231-805A-2526BE04908C}"/>
                </c:ext>
              </c:extLst>
            </c:dLbl>
            <c:dLbl>
              <c:idx val="6"/>
              <c:layout>
                <c:manualLayout>
                  <c:x val="-4.0113859340349174E-2"/>
                  <c:y val="4.301075268817199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EDF-4231-805A-2526BE04908C}"/>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'Tasa de Accidentalidad '!$C$18:$N$18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'Tasa de Accidentalidad '!$C$21:$N$21</c:f>
              <c:numCache>
                <c:formatCode>0%</c:formatCode>
                <c:ptCount val="12"/>
                <c:pt idx="0">
                  <c:v>1</c:v>
                </c:pt>
                <c:pt idx="1">
                  <c:v>1</c:v>
                </c:pt>
                <c:pt idx="2">
                  <c:v>1</c:v>
                </c:pt>
                <c:pt idx="3">
                  <c:v>1</c:v>
                </c:pt>
                <c:pt idx="4">
                  <c:v>1</c:v>
                </c:pt>
                <c:pt idx="5">
                  <c:v>1</c:v>
                </c:pt>
                <c:pt idx="6">
                  <c:v>1</c:v>
                </c:pt>
                <c:pt idx="7">
                  <c:v>0.96</c:v>
                </c:pt>
                <c:pt idx="8">
                  <c:v>0.96</c:v>
                </c:pt>
                <c:pt idx="9">
                  <c:v>0.96</c:v>
                </c:pt>
                <c:pt idx="10">
                  <c:v>0.96</c:v>
                </c:pt>
                <c:pt idx="11">
                  <c:v>0.96</c:v>
                </c:pt>
              </c:numCache>
            </c:numRef>
          </c:val>
          <c:smooth val="0"/>
          <c:extLst>
            <c:ext xmlns:c16="http://schemas.microsoft.com/office/drawing/2014/chart" uri="{C3380CC4-5D6E-409C-BE32-E72D297353CC}">
              <c16:uniqueId val="{00000001-8376-439F-9F97-86F91921244E}"/>
            </c:ext>
          </c:extLst>
        </c:ser>
        <c:dLbls>
          <c:dLblPos val="ctr"/>
          <c:showLegendKey val="0"/>
          <c:showVal val="1"/>
          <c:showCatName val="0"/>
          <c:showSerName val="0"/>
          <c:showPercent val="0"/>
          <c:showBubbleSize val="0"/>
        </c:dLbls>
        <c:smooth val="0"/>
        <c:axId val="1228164671"/>
        <c:axId val="945825983"/>
      </c:lineChart>
      <c:catAx>
        <c:axId val="1228164671"/>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945825983"/>
        <c:crosses val="autoZero"/>
        <c:auto val="1"/>
        <c:lblAlgn val="ctr"/>
        <c:lblOffset val="100"/>
        <c:noMultiLvlLbl val="0"/>
      </c:catAx>
      <c:valAx>
        <c:axId val="945825983"/>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228164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EFICACIA!$B$10:$K$10</c:f>
              <c:numCache>
                <c:formatCode>0%</c:formatCode>
                <c:ptCount val="10"/>
                <c:pt idx="0">
                  <c:v>0.79333333333333333</c:v>
                </c:pt>
                <c:pt idx="1">
                  <c:v>0.82333333333333325</c:v>
                </c:pt>
                <c:pt idx="2">
                  <c:v>0.97000000000000008</c:v>
                </c:pt>
                <c:pt idx="3">
                  <c:v>0.81</c:v>
                </c:pt>
                <c:pt idx="4">
                  <c:v>1</c:v>
                </c:pt>
                <c:pt idx="5">
                  <c:v>1</c:v>
                </c:pt>
                <c:pt idx="6">
                  <c:v>1</c:v>
                </c:pt>
              </c:numCache>
            </c:numRef>
          </c:yVal>
          <c:smooth val="0"/>
          <c:extLst>
            <c:ext xmlns:c16="http://schemas.microsoft.com/office/drawing/2014/chart" uri="{C3380CC4-5D6E-409C-BE32-E72D297353CC}">
              <c16:uniqueId val="{00000001-8627-48EB-AAC7-DE3328FF05DF}"/>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Indice De Frecuencia</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5.7831945318761763E-2"/>
          <c:y val="0.14952062430323299"/>
          <c:w val="0.91936109959939216"/>
          <c:h val="0.61826806766211084"/>
        </c:manualLayout>
      </c:layout>
      <c:lineChart>
        <c:grouping val="standard"/>
        <c:varyColors val="0"/>
        <c:ser>
          <c:idx val="0"/>
          <c:order val="0"/>
          <c:tx>
            <c:strRef>
              <c:f>'Indice de Frecuencia'!$A$20</c:f>
              <c:strCache>
                <c:ptCount val="1"/>
                <c:pt idx="0">
                  <c:v>CALCULO DEL INDICADOR MES </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'Indice de Frecuencia'!$C$18:$N$18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Frecuencia'!$C$20:$N$20</c:f>
              <c:numCache>
                <c:formatCode>0%</c:formatCode>
                <c:ptCount val="12"/>
                <c:pt idx="0">
                  <c:v>1</c:v>
                </c:pt>
                <c:pt idx="1">
                  <c:v>1</c:v>
                </c:pt>
                <c:pt idx="2">
                  <c:v>1</c:v>
                </c:pt>
                <c:pt idx="3">
                  <c:v>1</c:v>
                </c:pt>
                <c:pt idx="4">
                  <c:v>1</c:v>
                </c:pt>
                <c:pt idx="5">
                  <c:v>1</c:v>
                </c:pt>
                <c:pt idx="6">
                  <c:v>1</c:v>
                </c:pt>
              </c:numCache>
            </c:numRef>
          </c:val>
          <c:smooth val="0"/>
          <c:extLst>
            <c:ext xmlns:c16="http://schemas.microsoft.com/office/drawing/2014/chart" uri="{C3380CC4-5D6E-409C-BE32-E72D297353CC}">
              <c16:uniqueId val="{00000000-7858-4455-83CE-76A3CFDB92A4}"/>
            </c:ext>
          </c:extLst>
        </c:ser>
        <c:ser>
          <c:idx val="1"/>
          <c:order val="1"/>
          <c:tx>
            <c:strRef>
              <c:f>'Indice de Frecuencia'!$A$21</c:f>
              <c:strCache>
                <c:ptCount val="1"/>
                <c:pt idx="0">
                  <c:v>CUMPLIMIENTO DE LA META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dLbls>
            <c:dLbl>
              <c:idx val="0"/>
              <c:layout>
                <c:manualLayout>
                  <c:x val="-3.0311507114242298E-2"/>
                  <c:y val="4.01337792642140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B9A-41A0-A163-8DDF11307058}"/>
                </c:ext>
              </c:extLst>
            </c:dLbl>
            <c:dLbl>
              <c:idx val="1"/>
              <c:layout>
                <c:manualLayout>
                  <c:x val="-2.855712114933005E-2"/>
                  <c:y val="4.45930880713489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BB9A-41A0-A163-8DDF11307058}"/>
                </c:ext>
              </c:extLst>
            </c:dLbl>
            <c:dLbl>
              <c:idx val="2"/>
              <c:layout>
                <c:manualLayout>
                  <c:x val="-2.855712114933005E-2"/>
                  <c:y val="4.01337792642140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BB9A-41A0-A163-8DDF11307058}"/>
                </c:ext>
              </c:extLst>
            </c:dLbl>
            <c:dLbl>
              <c:idx val="3"/>
              <c:layout>
                <c:manualLayout>
                  <c:x val="-2.8557121149330018E-2"/>
                  <c:y val="4.45930880713489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BB9A-41A0-A163-8DDF11307058}"/>
                </c:ext>
              </c:extLst>
            </c:dLbl>
            <c:dLbl>
              <c:idx val="4"/>
              <c:layout>
                <c:manualLayout>
                  <c:x val="-3.2065893079154577E-2"/>
                  <c:y val="4.013377926421400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B9A-41A0-A163-8DDF11307058}"/>
                </c:ext>
              </c:extLst>
            </c:dLbl>
            <c:dLbl>
              <c:idx val="5"/>
              <c:layout>
                <c:manualLayout>
                  <c:x val="-3.2065893079154646E-2"/>
                  <c:y val="4.4593088071348902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BB9A-41A0-A163-8DDF11307058}"/>
                </c:ext>
              </c:extLst>
            </c:dLbl>
            <c:dLbl>
              <c:idx val="6"/>
              <c:layout>
                <c:manualLayout>
                  <c:x val="-2.8557121149330018E-2"/>
                  <c:y val="5.3511705685618728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BE21-4811-8E30-23B3530EBD4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95000"/>
                          <a:alpha val="54000"/>
                        </a:schemeClr>
                      </a:solidFill>
                    </a:ln>
                    <a:effectLst/>
                  </c:spPr>
                </c15:leaderLines>
              </c:ext>
            </c:extLst>
          </c:dLbls>
          <c:cat>
            <c:strRef>
              <c:f>'Indice de Frecuencia'!$C$18:$N$18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Frecuencia'!$C$21:$N$21</c:f>
              <c:numCache>
                <c:formatCode>0%</c:formatCode>
                <c:ptCount val="12"/>
                <c:pt idx="0">
                  <c:v>1</c:v>
                </c:pt>
                <c:pt idx="1">
                  <c:v>1</c:v>
                </c:pt>
                <c:pt idx="2">
                  <c:v>1</c:v>
                </c:pt>
                <c:pt idx="3">
                  <c:v>1</c:v>
                </c:pt>
                <c:pt idx="4">
                  <c:v>1</c:v>
                </c:pt>
                <c:pt idx="5">
                  <c:v>1</c:v>
                </c:pt>
                <c:pt idx="6">
                  <c:v>1</c:v>
                </c:pt>
              </c:numCache>
            </c:numRef>
          </c:val>
          <c:smooth val="0"/>
          <c:extLst>
            <c:ext xmlns:c16="http://schemas.microsoft.com/office/drawing/2014/chart" uri="{C3380CC4-5D6E-409C-BE32-E72D297353CC}">
              <c16:uniqueId val="{00000001-7858-4455-83CE-76A3CFDB92A4}"/>
            </c:ext>
          </c:extLst>
        </c:ser>
        <c:dLbls>
          <c:dLblPos val="ctr"/>
          <c:showLegendKey val="0"/>
          <c:showVal val="1"/>
          <c:showCatName val="0"/>
          <c:showSerName val="0"/>
          <c:showPercent val="0"/>
          <c:showBubbleSize val="0"/>
        </c:dLbls>
        <c:smooth val="0"/>
        <c:axId val="1738419440"/>
        <c:axId val="1838104192"/>
      </c:lineChart>
      <c:catAx>
        <c:axId val="1738419440"/>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38104192"/>
        <c:crosses val="autoZero"/>
        <c:auto val="1"/>
        <c:lblAlgn val="ctr"/>
        <c:lblOffset val="100"/>
        <c:noMultiLvlLbl val="0"/>
      </c:catAx>
      <c:valAx>
        <c:axId val="1838104192"/>
        <c:scaling>
          <c:orientation val="minMax"/>
        </c:scaling>
        <c:delete val="0"/>
        <c:axPos val="l"/>
        <c:majorGridlines>
          <c:spPr>
            <a:ln w="9525" cap="flat" cmpd="sng" algn="ctr">
              <a:solidFill>
                <a:schemeClr val="lt1">
                  <a:lumMod val="95000"/>
                  <a:alpha val="10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7384194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noFill/>
    </a:ln>
    <a:effectLst/>
  </c:spPr>
  <c:txPr>
    <a:bodyPr/>
    <a:lstStyle/>
    <a:p>
      <a:pPr>
        <a:defRPr/>
      </a:pPr>
      <a:endParaRPr lang="es-CO"/>
    </a:p>
  </c:tx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a:t>INDICE</a:t>
            </a:r>
            <a:r>
              <a:rPr lang="es-CO" baseline="0"/>
              <a:t> DE SEVERIDAD</a:t>
            </a:r>
            <a:endParaRPr lang="es-CO"/>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manualLayout>
          <c:layoutTarget val="inner"/>
          <c:xMode val="edge"/>
          <c:yMode val="edge"/>
          <c:x val="6.0141720433929957E-2"/>
          <c:y val="0.38417103148450049"/>
          <c:w val="0.93082893419360957"/>
          <c:h val="0.49719009793379354"/>
        </c:manualLayout>
      </c:layout>
      <c:lineChart>
        <c:grouping val="standard"/>
        <c:varyColors val="0"/>
        <c:ser>
          <c:idx val="0"/>
          <c:order val="0"/>
          <c:tx>
            <c:strRef>
              <c:f>'Indice de Severidad'!$A$20:$B$20</c:f>
              <c:strCache>
                <c:ptCount val="2"/>
                <c:pt idx="0">
                  <c:v>CALCULO DEL INDICADOR MES </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strRef>
              <c:f>'Indice de Severidad'!$C$18:$N$18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Severidad'!$C$20:$N$20</c:f>
              <c:numCache>
                <c:formatCode>0%</c:formatCode>
                <c:ptCount val="12"/>
                <c:pt idx="0" formatCode="0.0000">
                  <c:v>0</c:v>
                </c:pt>
                <c:pt idx="1">
                  <c:v>0</c:v>
                </c:pt>
                <c:pt idx="2">
                  <c:v>0</c:v>
                </c:pt>
                <c:pt idx="3">
                  <c:v>0</c:v>
                </c:pt>
                <c:pt idx="4">
                  <c:v>0</c:v>
                </c:pt>
                <c:pt idx="5">
                  <c:v>0</c:v>
                </c:pt>
                <c:pt idx="6">
                  <c:v>0</c:v>
                </c:pt>
                <c:pt idx="7">
                  <c:v>0</c:v>
                </c:pt>
                <c:pt idx="8">
                  <c:v>0</c:v>
                </c:pt>
                <c:pt idx="9">
                  <c:v>0</c:v>
                </c:pt>
                <c:pt idx="10">
                  <c:v>0</c:v>
                </c:pt>
                <c:pt idx="11">
                  <c:v>0</c:v>
                </c:pt>
              </c:numCache>
            </c:numRef>
          </c:val>
          <c:smooth val="0"/>
          <c:extLst>
            <c:ext xmlns:c16="http://schemas.microsoft.com/office/drawing/2014/chart" uri="{C3380CC4-5D6E-409C-BE32-E72D297353CC}">
              <c16:uniqueId val="{00000000-2DF4-4A25-A652-0310BD16AB8A}"/>
            </c:ext>
          </c:extLst>
        </c:ser>
        <c:ser>
          <c:idx val="1"/>
          <c:order val="1"/>
          <c:tx>
            <c:strRef>
              <c:f>'Indice de Severidad'!$A$21</c:f>
              <c:strCache>
                <c:ptCount val="1"/>
                <c:pt idx="0">
                  <c:v>CUMPLIMIENTO DE LA META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strRef>
              <c:f>'Indice de Severidad'!$C$18:$N$18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Severidad'!$C$21:$N$21</c:f>
              <c:numCache>
                <c:formatCode>0.00%</c:formatCode>
                <c:ptCount val="12"/>
                <c:pt idx="0">
                  <c:v>0</c:v>
                </c:pt>
                <c:pt idx="1">
                  <c:v>0.96760000000000002</c:v>
                </c:pt>
                <c:pt idx="2">
                  <c:v>0.96760000000000002</c:v>
                </c:pt>
                <c:pt idx="3">
                  <c:v>0.96760000000000002</c:v>
                </c:pt>
                <c:pt idx="4">
                  <c:v>0.96760000000000002</c:v>
                </c:pt>
                <c:pt idx="5">
                  <c:v>0.96760000000000002</c:v>
                </c:pt>
                <c:pt idx="6">
                  <c:v>0.96760000000000002</c:v>
                </c:pt>
                <c:pt idx="7">
                  <c:v>0.96760000000000002</c:v>
                </c:pt>
                <c:pt idx="8">
                  <c:v>0.96760000000000002</c:v>
                </c:pt>
                <c:pt idx="9">
                  <c:v>0.96760000000000002</c:v>
                </c:pt>
                <c:pt idx="10">
                  <c:v>0.96760000000000002</c:v>
                </c:pt>
                <c:pt idx="11">
                  <c:v>0.96760000000000002</c:v>
                </c:pt>
              </c:numCache>
            </c:numRef>
          </c:val>
          <c:smooth val="0"/>
          <c:extLst>
            <c:ext xmlns:c16="http://schemas.microsoft.com/office/drawing/2014/chart" uri="{C3380CC4-5D6E-409C-BE32-E72D297353CC}">
              <c16:uniqueId val="{00000001-2DF4-4A25-A652-0310BD16AB8A}"/>
            </c:ext>
          </c:extLst>
        </c:ser>
        <c:dLbls>
          <c:showLegendKey val="0"/>
          <c:showVal val="0"/>
          <c:showCatName val="0"/>
          <c:showSerName val="0"/>
          <c:showPercent val="0"/>
          <c:showBubbleSize val="0"/>
        </c:dLbls>
        <c:dropLines>
          <c:spPr>
            <a:ln w="9525">
              <a:solidFill>
                <a:schemeClr val="lt1">
                  <a:lumMod val="95000"/>
                  <a:alpha val="54000"/>
                </a:schemeClr>
              </a:solidFill>
              <a:prstDash val="dash"/>
            </a:ln>
            <a:effectLst/>
          </c:spPr>
        </c:dropLines>
        <c:smooth val="0"/>
        <c:axId val="2095424319"/>
        <c:axId val="2089358415"/>
      </c:lineChart>
      <c:catAx>
        <c:axId val="2095424319"/>
        <c:scaling>
          <c:orientation val="minMax"/>
        </c:scaling>
        <c:delete val="0"/>
        <c:axPos val="b"/>
        <c:numFmt formatCode="General" sourceLinked="1"/>
        <c:majorTickMark val="none"/>
        <c:minorTickMark val="none"/>
        <c:tickLblPos val="nextTo"/>
        <c:spPr>
          <a:noFill/>
          <a:ln w="9525" cap="flat" cmpd="sng" algn="ctr">
            <a:solidFill>
              <a:schemeClr val="lt1">
                <a:lumMod val="95000"/>
                <a:alpha val="10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89358415"/>
        <c:crosses val="autoZero"/>
        <c:auto val="1"/>
        <c:lblAlgn val="ctr"/>
        <c:lblOffset val="100"/>
        <c:noMultiLvlLbl val="0"/>
      </c:catAx>
      <c:valAx>
        <c:axId val="2089358415"/>
        <c:scaling>
          <c:orientation val="minMax"/>
        </c:scaling>
        <c:delete val="0"/>
        <c:axPos val="l"/>
        <c:majorGridlines>
          <c:spPr>
            <a:ln w="9525" cap="flat" cmpd="sng" algn="ctr">
              <a:solidFill>
                <a:schemeClr val="lt1">
                  <a:lumMod val="95000"/>
                  <a:alpha val="10000"/>
                </a:schemeClr>
              </a:solidFill>
              <a:round/>
            </a:ln>
            <a:effectLst/>
          </c:spPr>
        </c:majorGridlines>
        <c:numFmt formatCode="0.00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95424319"/>
        <c:crosses val="autoZero"/>
        <c:crossBetween val="between"/>
      </c:valAx>
      <c:spPr>
        <a:noFill/>
        <a:ln>
          <a:noFill/>
        </a:ln>
        <a:effectLst/>
      </c:spPr>
    </c:plotArea>
    <c:legend>
      <c:legendPos val="b"/>
      <c:layout>
        <c:manualLayout>
          <c:xMode val="edge"/>
          <c:yMode val="edge"/>
          <c:x val="0.23934424675470872"/>
          <c:y val="0.1921014484809796"/>
          <c:w val="0.48519400650539452"/>
          <c:h val="9.0362040134484331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a:solidFill>
        <a:sysClr val="windowText" lastClr="000000"/>
      </a:solidFill>
    </a:ln>
    <a:effectLst/>
  </c:spPr>
  <c:txPr>
    <a:bodyPr/>
    <a:lstStyle/>
    <a:p>
      <a:pPr>
        <a:defRPr/>
      </a:pPr>
      <a:endParaRPr lang="es-CO"/>
    </a:p>
  </c:tx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es-CO"/>
              <a:t>Indice de Lesiones Incapacitantes</a:t>
            </a:r>
          </a:p>
        </c:rich>
      </c:tx>
      <c:layout>
        <c:manualLayout>
          <c:xMode val="edge"/>
          <c:yMode val="edge"/>
          <c:x val="0.29097162449835468"/>
          <c:y val="4.2016899786260893E-2"/>
        </c:manualLayout>
      </c:layout>
      <c:overlay val="0"/>
      <c:spPr>
        <a:noFill/>
        <a:ln>
          <a:noFill/>
        </a:ln>
        <a:effectLst/>
      </c:spPr>
      <c:txPr>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endParaRPr lang="es-CO"/>
        </a:p>
      </c:txPr>
    </c:title>
    <c:autoTitleDeleted val="0"/>
    <c:plotArea>
      <c:layout>
        <c:manualLayout>
          <c:layoutTarget val="inner"/>
          <c:xMode val="edge"/>
          <c:yMode val="edge"/>
          <c:x val="5.3916640986678283E-2"/>
          <c:y val="0.21491433823936565"/>
          <c:w val="0.94608335901332175"/>
          <c:h val="0.60464086158761732"/>
        </c:manualLayout>
      </c:layout>
      <c:barChart>
        <c:barDir val="col"/>
        <c:grouping val="clustered"/>
        <c:varyColors val="0"/>
        <c:ser>
          <c:idx val="0"/>
          <c:order val="0"/>
          <c:tx>
            <c:strRef>
              <c:f>'Indice de Lesiones Incapacitant'!$A$20</c:f>
              <c:strCache>
                <c:ptCount val="1"/>
                <c:pt idx="0">
                  <c:v>CALCULO DEL INDICADOR </c:v>
                </c:pt>
              </c:strCache>
            </c:strRef>
          </c:tx>
          <c:spPr>
            <a:solidFill>
              <a:schemeClr val="accent1">
                <a:alpha val="85000"/>
              </a:schemeClr>
            </a:solidFill>
            <a:ln w="9525" cap="flat" cmpd="sng" algn="ctr">
              <a:solidFill>
                <a:schemeClr val="accent1">
                  <a:lumMod val="75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'Indice de Lesiones Incapacitant'!$C$18:$N$18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Lesiones Incapacitant'!$C$20:$N$20</c:f>
              <c:numCache>
                <c:formatCode>0%</c:formatCode>
                <c:ptCount val="12"/>
                <c:pt idx="0">
                  <c:v>1</c:v>
                </c:pt>
                <c:pt idx="1">
                  <c:v>1</c:v>
                </c:pt>
                <c:pt idx="2">
                  <c:v>1</c:v>
                </c:pt>
                <c:pt idx="3">
                  <c:v>1</c:v>
                </c:pt>
                <c:pt idx="4">
                  <c:v>1</c:v>
                </c:pt>
                <c:pt idx="5">
                  <c:v>1</c:v>
                </c:pt>
                <c:pt idx="6">
                  <c:v>0</c:v>
                </c:pt>
                <c:pt idx="7">
                  <c:v>0</c:v>
                </c:pt>
                <c:pt idx="8">
                  <c:v>0</c:v>
                </c:pt>
                <c:pt idx="9">
                  <c:v>0</c:v>
                </c:pt>
                <c:pt idx="10">
                  <c:v>0</c:v>
                </c:pt>
                <c:pt idx="11">
                  <c:v>0</c:v>
                </c:pt>
              </c:numCache>
            </c:numRef>
          </c:val>
          <c:extLst>
            <c:ext xmlns:c16="http://schemas.microsoft.com/office/drawing/2014/chart" uri="{C3380CC4-5D6E-409C-BE32-E72D297353CC}">
              <c16:uniqueId val="{00000000-44BB-4A38-BC79-22ECBCA8AB4B}"/>
            </c:ext>
          </c:extLst>
        </c:ser>
        <c:dLbls>
          <c:showLegendKey val="0"/>
          <c:showVal val="1"/>
          <c:showCatName val="0"/>
          <c:showSerName val="0"/>
          <c:showPercent val="0"/>
          <c:showBubbleSize val="0"/>
        </c:dLbls>
        <c:gapWidth val="65"/>
        <c:axId val="1928969935"/>
        <c:axId val="2089356335"/>
      </c:barChart>
      <c:lineChart>
        <c:grouping val="standard"/>
        <c:varyColors val="0"/>
        <c:ser>
          <c:idx val="1"/>
          <c:order val="1"/>
          <c:tx>
            <c:strRef>
              <c:f>'Indice de Lesiones Incapacitant'!$A$21</c:f>
              <c:strCache>
                <c:ptCount val="1"/>
                <c:pt idx="0">
                  <c:v>CUMPLIMIENTO DE LA META</c:v>
                </c:pt>
              </c:strCache>
            </c:strRef>
          </c:tx>
          <c:spPr>
            <a:ln w="31750" cap="rnd">
              <a:solidFill>
                <a:schemeClr val="accent2">
                  <a:alpha val="85000"/>
                </a:schemeClr>
              </a:solidFill>
              <a:round/>
            </a:ln>
            <a:effectLst/>
          </c:spPr>
          <c:marker>
            <c:symbol val="none"/>
          </c:marker>
          <c:dLbls>
            <c:dLbl>
              <c:idx val="0"/>
              <c:layout>
                <c:manualLayout>
                  <c:x val="-4.1385515069725605E-2"/>
                  <c:y val="3.3715848810037988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1C7-4B6F-89BE-9E8386236CDB}"/>
                </c:ext>
              </c:extLst>
            </c:dLbl>
            <c:dLbl>
              <c:idx val="1"/>
              <c:layout>
                <c:manualLayout>
                  <c:x val="-4.4984255510571301E-2"/>
                  <c:y val="2.572975846373633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C1C7-4B6F-89BE-9E8386236CDB}"/>
                </c:ext>
              </c:extLst>
            </c:dLbl>
            <c:dLbl>
              <c:idx val="2"/>
              <c:layout>
                <c:manualLayout>
                  <c:x val="-3.9586144849302778E-2"/>
                  <c:y val="2.513926265545920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1C7-4B6F-89BE-9E8386236CDB}"/>
                </c:ext>
              </c:extLst>
            </c:dLbl>
            <c:dLbl>
              <c:idx val="3"/>
              <c:layout>
                <c:manualLayout>
                  <c:x val="-3.4188034188034191E-2"/>
                  <c:y val="2.3959157004108663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1C7-4B6F-89BE-9E8386236CDB}"/>
                </c:ext>
              </c:extLst>
            </c:dLbl>
            <c:dLbl>
              <c:idx val="4"/>
              <c:layout>
                <c:manualLayout>
                  <c:x val="-3.9586144849302743E-2"/>
                  <c:y val="1.68776371308016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1C7-4B6F-89BE-9E8386236CDB}"/>
                </c:ext>
              </c:extLst>
            </c:dLbl>
            <c:dLbl>
              <c:idx val="5"/>
              <c:layout>
                <c:manualLayout>
                  <c:x val="-3.9586144849302812E-2"/>
                  <c:y val="1.6877637130801686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1C7-4B6F-89BE-9E8386236CDB}"/>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dk1">
                        <a:lumMod val="75000"/>
                        <a:lumOff val="25000"/>
                      </a:schemeClr>
                    </a:solidFill>
                    <a:latin typeface="+mn-lt"/>
                    <a:ea typeface="+mn-ea"/>
                    <a:cs typeface="+mn-cs"/>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'Indice de Lesiones Incapacitant'!$C$18:$N$18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'Indice de Lesiones Incapacitant'!$C$21:$N$21</c:f>
              <c:numCache>
                <c:formatCode>0.00%</c:formatCode>
                <c:ptCount val="12"/>
                <c:pt idx="0">
                  <c:v>0.96</c:v>
                </c:pt>
                <c:pt idx="1">
                  <c:v>0.96</c:v>
                </c:pt>
                <c:pt idx="2">
                  <c:v>0.96</c:v>
                </c:pt>
                <c:pt idx="3">
                  <c:v>0.96</c:v>
                </c:pt>
                <c:pt idx="4">
                  <c:v>0.96</c:v>
                </c:pt>
                <c:pt idx="5">
                  <c:v>0.96</c:v>
                </c:pt>
                <c:pt idx="6">
                  <c:v>0.96</c:v>
                </c:pt>
                <c:pt idx="7">
                  <c:v>0.96</c:v>
                </c:pt>
                <c:pt idx="8">
                  <c:v>0.96</c:v>
                </c:pt>
                <c:pt idx="9">
                  <c:v>0.96</c:v>
                </c:pt>
                <c:pt idx="10">
                  <c:v>0.96</c:v>
                </c:pt>
                <c:pt idx="11">
                  <c:v>0.96</c:v>
                </c:pt>
              </c:numCache>
            </c:numRef>
          </c:val>
          <c:smooth val="0"/>
          <c:extLst>
            <c:ext xmlns:c16="http://schemas.microsoft.com/office/drawing/2014/chart" uri="{C3380CC4-5D6E-409C-BE32-E72D297353CC}">
              <c16:uniqueId val="{00000001-44BB-4A38-BC79-22ECBCA8AB4B}"/>
            </c:ext>
          </c:extLst>
        </c:ser>
        <c:dLbls>
          <c:showLegendKey val="0"/>
          <c:showVal val="0"/>
          <c:showCatName val="0"/>
          <c:showSerName val="0"/>
          <c:showPercent val="0"/>
          <c:showBubbleSize val="0"/>
        </c:dLbls>
        <c:marker val="1"/>
        <c:smooth val="0"/>
        <c:axId val="1928969935"/>
        <c:axId val="2089356335"/>
      </c:lineChart>
      <c:catAx>
        <c:axId val="1928969935"/>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es-CO"/>
          </a:p>
        </c:txPr>
        <c:crossAx val="2089356335"/>
        <c:crosses val="autoZero"/>
        <c:auto val="1"/>
        <c:lblAlgn val="ctr"/>
        <c:lblOffset val="100"/>
        <c:noMultiLvlLbl val="0"/>
      </c:catAx>
      <c:valAx>
        <c:axId val="2089356335"/>
        <c:scaling>
          <c:orientation val="minMax"/>
        </c:scaling>
        <c:delete val="0"/>
        <c:axPos val="l"/>
        <c:majorGridlines>
          <c:spPr>
            <a:ln w="9525" cap="flat" cmpd="sng" algn="ctr">
              <a:solidFill>
                <a:schemeClr val="dk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crossAx val="1928969935"/>
        <c:crosses val="autoZero"/>
        <c:crossBetween val="between"/>
      </c:valAx>
      <c:spPr>
        <a:noFill/>
        <a:ln>
          <a:noFill/>
        </a:ln>
        <a:effectLst/>
      </c:spPr>
    </c:plotArea>
    <c:legend>
      <c:legendPos val="b"/>
      <c:layout>
        <c:manualLayout>
          <c:xMode val="edge"/>
          <c:yMode val="edge"/>
          <c:x val="0.22964526195359183"/>
          <c:y val="0.89999944535256959"/>
          <c:w val="0.54070933441012181"/>
          <c:h val="8.4906221004815138E-2"/>
        </c:manualLayout>
      </c:layout>
      <c:overlay val="0"/>
      <c:spPr>
        <a:solidFill>
          <a:schemeClr val="lt1">
            <a:lumMod val="95000"/>
            <a:alpha val="39000"/>
          </a:schemeClr>
        </a:solidFill>
        <a:ln>
          <a:noFill/>
        </a:ln>
        <a:effectLst/>
      </c:spPr>
      <c:txPr>
        <a:bodyPr rot="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r>
              <a:rPr lang="es-CO"/>
              <a:t>Tasa de Ausentismo por Enfermedad  laboral</a:t>
            </a:r>
          </a:p>
        </c:rich>
      </c:tx>
      <c:overlay val="0"/>
      <c:spPr>
        <a:noFill/>
        <a:ln>
          <a:noFill/>
        </a:ln>
        <a:effectLst/>
      </c:spPr>
      <c:txPr>
        <a:bodyPr rot="0" spcFirstLastPara="1" vertOverflow="ellipsis" vert="horz" wrap="square" anchor="ctr" anchorCtr="1"/>
        <a:lstStyle/>
        <a:p>
          <a:pPr>
            <a:defRPr sz="1400" b="1" i="0" u="none" strike="noStrike" kern="1200" cap="none" baseline="0">
              <a:solidFill>
                <a:schemeClr val="lt1">
                  <a:lumMod val="85000"/>
                </a:schemeClr>
              </a:solidFill>
              <a:latin typeface="+mn-lt"/>
              <a:ea typeface="+mn-ea"/>
              <a:cs typeface="+mn-cs"/>
            </a:defRPr>
          </a:pPr>
          <a:endParaRPr lang="es-CO"/>
        </a:p>
      </c:txPr>
    </c:title>
    <c:autoTitleDeleted val="0"/>
    <c:plotArea>
      <c:layout/>
      <c:lineChart>
        <c:grouping val="standard"/>
        <c:varyColors val="0"/>
        <c:ser>
          <c:idx val="0"/>
          <c:order val="0"/>
          <c:tx>
            <c:strRef>
              <c:f>'Enfermedad Laboral'!$A$20</c:f>
              <c:strCache>
                <c:ptCount val="1"/>
                <c:pt idx="0">
                  <c:v>CALCULO DEL INDICADOR </c:v>
                </c:pt>
              </c:strCache>
            </c:strRef>
          </c:tx>
          <c:spPr>
            <a:ln w="22225" cap="rnd">
              <a:solidFill>
                <a:schemeClr val="accent1"/>
              </a:solidFill>
            </a:ln>
            <a:effectLst>
              <a:glow rad="139700">
                <a:schemeClr val="accent1">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'Enfermedad Laboral'!$C$18:$N$18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'Enfermedad Laboral'!$C$20:$N$20</c:f>
              <c:numCache>
                <c:formatCode>0%</c:formatCode>
                <c:ptCount val="12"/>
                <c:pt idx="0">
                  <c:v>1</c:v>
                </c:pt>
                <c:pt idx="1">
                  <c:v>1</c:v>
                </c:pt>
                <c:pt idx="2">
                  <c:v>1</c:v>
                </c:pt>
                <c:pt idx="3">
                  <c:v>1</c:v>
                </c:pt>
                <c:pt idx="4">
                  <c:v>1</c:v>
                </c:pt>
                <c:pt idx="5">
                  <c:v>1</c:v>
                </c:pt>
                <c:pt idx="6">
                  <c:v>1</c:v>
                </c:pt>
                <c:pt idx="7">
                  <c:v>0</c:v>
                </c:pt>
                <c:pt idx="8">
                  <c:v>0</c:v>
                </c:pt>
                <c:pt idx="9">
                  <c:v>0</c:v>
                </c:pt>
                <c:pt idx="10">
                  <c:v>0</c:v>
                </c:pt>
                <c:pt idx="11">
                  <c:v>0</c:v>
                </c:pt>
              </c:numCache>
            </c:numRef>
          </c:val>
          <c:smooth val="0"/>
          <c:extLst>
            <c:ext xmlns:c16="http://schemas.microsoft.com/office/drawing/2014/chart" uri="{C3380CC4-5D6E-409C-BE32-E72D297353CC}">
              <c16:uniqueId val="{00000000-0BEF-4214-BD74-2D1234BCC2A0}"/>
            </c:ext>
          </c:extLst>
        </c:ser>
        <c:ser>
          <c:idx val="1"/>
          <c:order val="1"/>
          <c:tx>
            <c:strRef>
              <c:f>'Enfermedad Laboral'!$A$21</c:f>
              <c:strCache>
                <c:ptCount val="1"/>
                <c:pt idx="0">
                  <c:v>CUMPLIMIENTO DE LA META</c:v>
                </c:pt>
              </c:strCache>
            </c:strRef>
          </c:tx>
          <c:spPr>
            <a:ln w="22225" cap="rnd">
              <a:solidFill>
                <a:schemeClr val="accent2"/>
              </a:solidFill>
            </a:ln>
            <a:effectLst>
              <a:glow rad="139700">
                <a:schemeClr val="accent2">
                  <a:satMod val="175000"/>
                  <a:alpha val="14000"/>
                </a:schemeClr>
              </a:glow>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75000"/>
                      </a:schemeClr>
                    </a:solidFill>
                    <a:latin typeface="+mn-lt"/>
                    <a:ea typeface="+mn-ea"/>
                    <a:cs typeface="+mn-cs"/>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lt1">
                          <a:lumMod val="50000"/>
                        </a:schemeClr>
                      </a:solidFill>
                      <a:round/>
                    </a:ln>
                    <a:effectLst/>
                  </c:spPr>
                </c15:leaderLines>
              </c:ext>
            </c:extLst>
          </c:dLbls>
          <c:cat>
            <c:strRef>
              <c:f>'Enfermedad Laboral'!$C$18:$N$18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'Enfermedad Laboral'!$C$21:$N$21</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0BEF-4214-BD74-2D1234BCC2A0}"/>
            </c:ext>
          </c:extLst>
        </c:ser>
        <c:dLbls>
          <c:dLblPos val="ctr"/>
          <c:showLegendKey val="0"/>
          <c:showVal val="1"/>
          <c:showCatName val="0"/>
          <c:showSerName val="0"/>
          <c:showPercent val="0"/>
          <c:showBubbleSize val="0"/>
        </c:dLbls>
        <c:smooth val="0"/>
        <c:axId val="1228164671"/>
        <c:axId val="945825983"/>
      </c:lineChart>
      <c:catAx>
        <c:axId val="1228164671"/>
        <c:scaling>
          <c:orientation val="minMax"/>
        </c:scaling>
        <c:delete val="0"/>
        <c:axPos val="b"/>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945825983"/>
        <c:crosses val="autoZero"/>
        <c:auto val="1"/>
        <c:lblAlgn val="ctr"/>
        <c:lblOffset val="100"/>
        <c:noMultiLvlLbl val="0"/>
      </c:catAx>
      <c:valAx>
        <c:axId val="945825983"/>
        <c:scaling>
          <c:orientation val="minMax"/>
        </c:scaling>
        <c:delete val="0"/>
        <c:axPos val="l"/>
        <c:majorGridlines>
          <c:spPr>
            <a:ln w="9525" cap="flat" cmpd="sng" algn="ctr">
              <a:gradFill>
                <a:gsLst>
                  <a:gs pos="100000">
                    <a:schemeClr val="dk1">
                      <a:lumMod val="75000"/>
                      <a:lumOff val="25000"/>
                    </a:schemeClr>
                  </a:gs>
                  <a:gs pos="0">
                    <a:schemeClr val="dk1">
                      <a:lumMod val="65000"/>
                      <a:lumOff val="35000"/>
                    </a:schemeClr>
                  </a:gs>
                </a:gsLst>
                <a:lin ang="5400000" scaled="0"/>
              </a:gra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crossAx val="1228164671"/>
        <c:crosses val="autoZero"/>
        <c:crossBetween val="between"/>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lt1">
                  <a:lumMod val="75000"/>
                </a:schemeClr>
              </a:solidFill>
              <a:latin typeface="+mn-lt"/>
              <a:ea typeface="+mn-ea"/>
              <a:cs typeface="+mn-cs"/>
            </a:defRPr>
          </a:pPr>
          <a:endParaRPr lang="es-CO"/>
        </a:p>
      </c:txPr>
    </c:legend>
    <c:plotVisOnly val="1"/>
    <c:dispBlanksAs val="gap"/>
    <c:showDLblsOverMax val="0"/>
  </c:chart>
  <c:spPr>
    <a:solidFill>
      <a:schemeClr val="dk1">
        <a:lumMod val="75000"/>
        <a:lumOff val="25000"/>
      </a:schemeClr>
    </a:solidFill>
    <a:ln w="9525" cap="flat" cmpd="sng" algn="ctr">
      <a:solidFill>
        <a:schemeClr val="dk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r>
              <a:rPr lang="es-CO" sz="1400"/>
              <a:t>Tasa</a:t>
            </a:r>
            <a:r>
              <a:rPr lang="es-CO" sz="1400" baseline="0"/>
              <a:t> de Ausentismo por incapacidades origen comun / laboral</a:t>
            </a:r>
            <a:endParaRPr lang="es-CO" sz="1400"/>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2"/>
              </a:solidFill>
              <a:latin typeface="+mn-lt"/>
              <a:ea typeface="+mn-ea"/>
              <a:cs typeface="+mn-cs"/>
            </a:defRPr>
          </a:pPr>
          <a:endParaRPr lang="es-CO"/>
        </a:p>
      </c:txPr>
    </c:title>
    <c:autoTitleDeleted val="0"/>
    <c:plotArea>
      <c:layout>
        <c:manualLayout>
          <c:layoutTarget val="inner"/>
          <c:xMode val="edge"/>
          <c:yMode val="edge"/>
          <c:x val="6.4634967910726926E-2"/>
          <c:y val="0.18947637292464881"/>
          <c:w val="0.91962777462099443"/>
          <c:h val="0.57515511710461475"/>
        </c:manualLayout>
      </c:layout>
      <c:lineChart>
        <c:grouping val="standard"/>
        <c:varyColors val="0"/>
        <c:ser>
          <c:idx val="0"/>
          <c:order val="0"/>
          <c:tx>
            <c:strRef>
              <c:f>'Ausentismo laboral'!$A$20</c:f>
              <c:strCache>
                <c:ptCount val="1"/>
                <c:pt idx="0">
                  <c:v>CALCULO DEL INDICADOR </c:v>
                </c:pt>
              </c:strCache>
            </c:strRef>
          </c:tx>
          <c:spPr>
            <a:ln w="31750" cap="rnd">
              <a:solidFill>
                <a:schemeClr val="accent2"/>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'Ausentismo laboral'!$C$18:$N$18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'Ausentismo laboral'!$C$20:$N$20</c:f>
              <c:numCache>
                <c:formatCode>0%</c:formatCode>
                <c:ptCount val="12"/>
                <c:pt idx="0">
                  <c:v>0.38</c:v>
                </c:pt>
                <c:pt idx="1">
                  <c:v>0.47</c:v>
                </c:pt>
                <c:pt idx="2">
                  <c:v>0.91</c:v>
                </c:pt>
                <c:pt idx="3">
                  <c:v>0.43</c:v>
                </c:pt>
                <c:pt idx="4">
                  <c:v>1</c:v>
                </c:pt>
                <c:pt idx="5">
                  <c:v>1</c:v>
                </c:pt>
                <c:pt idx="6">
                  <c:v>1</c:v>
                </c:pt>
                <c:pt idx="7">
                  <c:v>1</c:v>
                </c:pt>
                <c:pt idx="8">
                  <c:v>1</c:v>
                </c:pt>
                <c:pt idx="9">
                  <c:v>0</c:v>
                </c:pt>
                <c:pt idx="10">
                  <c:v>0</c:v>
                </c:pt>
                <c:pt idx="11">
                  <c:v>0</c:v>
                </c:pt>
              </c:numCache>
            </c:numRef>
          </c:val>
          <c:smooth val="0"/>
          <c:extLst>
            <c:ext xmlns:c16="http://schemas.microsoft.com/office/drawing/2014/chart" uri="{C3380CC4-5D6E-409C-BE32-E72D297353CC}">
              <c16:uniqueId val="{00000000-EE6F-44E8-A431-969439B0092D}"/>
            </c:ext>
          </c:extLst>
        </c:ser>
        <c:ser>
          <c:idx val="1"/>
          <c:order val="1"/>
          <c:tx>
            <c:strRef>
              <c:f>'Ausentismo laboral'!$A$21</c:f>
              <c:strCache>
                <c:ptCount val="1"/>
                <c:pt idx="0">
                  <c:v>CUMPLIMIENTO DE LA META</c:v>
                </c:pt>
              </c:strCache>
            </c:strRef>
          </c:tx>
          <c:spPr>
            <a:ln w="31750" cap="rnd">
              <a:solidFill>
                <a:schemeClr val="accent4"/>
              </a:solid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2">
                          <a:lumMod val="35000"/>
                          <a:lumOff val="65000"/>
                        </a:schemeClr>
                      </a:solidFill>
                    </a:ln>
                    <a:effectLst/>
                  </c:spPr>
                </c15:leaderLines>
              </c:ext>
            </c:extLst>
          </c:dLbls>
          <c:cat>
            <c:strRef>
              <c:f>'Ausentismo laboral'!$C$18:$N$18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'Ausentismo laboral'!$C$21:$N$21</c:f>
              <c:numCache>
                <c:formatCode>0.00%</c:formatCode>
                <c:ptCount val="12"/>
                <c:pt idx="0">
                  <c:v>0.66</c:v>
                </c:pt>
                <c:pt idx="1">
                  <c:v>0.66</c:v>
                </c:pt>
                <c:pt idx="2">
                  <c:v>0.66</c:v>
                </c:pt>
                <c:pt idx="3">
                  <c:v>0.66</c:v>
                </c:pt>
                <c:pt idx="4">
                  <c:v>0.66</c:v>
                </c:pt>
                <c:pt idx="5">
                  <c:v>0.66</c:v>
                </c:pt>
                <c:pt idx="6">
                  <c:v>0.66</c:v>
                </c:pt>
                <c:pt idx="7">
                  <c:v>0.66</c:v>
                </c:pt>
                <c:pt idx="8">
                  <c:v>0.66</c:v>
                </c:pt>
                <c:pt idx="9">
                  <c:v>0.66</c:v>
                </c:pt>
                <c:pt idx="10">
                  <c:v>0.66</c:v>
                </c:pt>
                <c:pt idx="11">
                  <c:v>0.66</c:v>
                </c:pt>
              </c:numCache>
            </c:numRef>
          </c:val>
          <c:smooth val="0"/>
          <c:extLst>
            <c:ext xmlns:c16="http://schemas.microsoft.com/office/drawing/2014/chart" uri="{C3380CC4-5D6E-409C-BE32-E72D297353CC}">
              <c16:uniqueId val="{00000001-EE6F-44E8-A431-969439B0092D}"/>
            </c:ext>
          </c:extLst>
        </c:ser>
        <c:dLbls>
          <c:dLblPos val="t"/>
          <c:showLegendKey val="0"/>
          <c:showVal val="1"/>
          <c:showCatName val="0"/>
          <c:showSerName val="0"/>
          <c:showPercent val="0"/>
          <c:showBubbleSize val="0"/>
        </c:dLbls>
        <c:dropLines>
          <c:spPr>
            <a:ln w="9525">
              <a:solidFill>
                <a:schemeClr val="tx2">
                  <a:lumMod val="60000"/>
                  <a:lumOff val="40000"/>
                </a:schemeClr>
              </a:solidFill>
              <a:prstDash val="dash"/>
            </a:ln>
            <a:effectLst/>
          </c:spPr>
        </c:dropLines>
        <c:smooth val="0"/>
        <c:axId val="1228164671"/>
        <c:axId val="945825983"/>
      </c:lineChart>
      <c:catAx>
        <c:axId val="1228164671"/>
        <c:scaling>
          <c:orientation val="minMax"/>
        </c:scaling>
        <c:delete val="0"/>
        <c:axPos val="b"/>
        <c:numFmt formatCode="General" sourceLinked="1"/>
        <c:majorTickMark val="out"/>
        <c:minorTickMark val="none"/>
        <c:tickLblPos val="nextTo"/>
        <c:spPr>
          <a:noFill/>
          <a:ln w="9525" cap="flat" cmpd="sng" algn="ctr">
            <a:solidFill>
              <a:schemeClr val="tx2">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945825983"/>
        <c:crosses val="autoZero"/>
        <c:auto val="1"/>
        <c:lblAlgn val="ctr"/>
        <c:lblOffset val="100"/>
        <c:noMultiLvlLbl val="0"/>
      </c:catAx>
      <c:valAx>
        <c:axId val="945825983"/>
        <c:scaling>
          <c:orientation val="minMax"/>
        </c:scaling>
        <c:delete val="0"/>
        <c:axPos val="l"/>
        <c:majorGridlines>
          <c:spPr>
            <a:ln w="9525" cap="flat" cmpd="sng" algn="ctr">
              <a:solidFill>
                <a:schemeClr val="tx2">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crossAx val="1228164671"/>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2"/>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2">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s-CO"/>
              <a:t>Cantidad De Incidentes</a:t>
            </a:r>
          </a:p>
        </c:rich>
      </c:tx>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s-CO"/>
        </a:p>
      </c:txPr>
    </c:title>
    <c:autoTitleDeleted val="0"/>
    <c:plotArea>
      <c:layout/>
      <c:lineChart>
        <c:grouping val="standard"/>
        <c:varyColors val="0"/>
        <c:ser>
          <c:idx val="0"/>
          <c:order val="0"/>
          <c:tx>
            <c:strRef>
              <c:f>'Cantidad de Incidentes'!$A$20</c:f>
              <c:strCache>
                <c:ptCount val="1"/>
                <c:pt idx="0">
                  <c:v>CALCULO DEL INDICADOR </c:v>
                </c:pt>
              </c:strCache>
            </c:strRef>
          </c:tx>
          <c:spPr>
            <a:ln w="34925" cap="rnd">
              <a:solidFill>
                <a:schemeClr val="accent1"/>
              </a:solidFill>
              <a:round/>
            </a:ln>
            <a:effectLst>
              <a:outerShdw blurRad="57150" dist="19050" dir="5400000" algn="ctr" rotWithShape="0">
                <a:srgbClr val="000000">
                  <a:alpha val="63000"/>
                </a:srgbClr>
              </a:outerShdw>
            </a:effectLst>
          </c:spPr>
          <c:marker>
            <c:symbol val="none"/>
          </c:marker>
          <c:cat>
            <c:strRef>
              <c:f>'Cantidad de Incidentes'!$C$18:$N$18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'Cantidad de Incidentes'!$C$20:$N$20</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0-7193-4B52-A4CD-3B0C33A0B4E2}"/>
            </c:ext>
          </c:extLst>
        </c:ser>
        <c:ser>
          <c:idx val="1"/>
          <c:order val="1"/>
          <c:tx>
            <c:strRef>
              <c:f>'Cantidad de Incidentes'!$A$21</c:f>
              <c:strCache>
                <c:ptCount val="1"/>
                <c:pt idx="0">
                  <c:v>CUMPLIMIENTO DE LA META</c:v>
                </c:pt>
              </c:strCache>
            </c:strRef>
          </c:tx>
          <c:spPr>
            <a:ln w="34925" cap="rnd">
              <a:solidFill>
                <a:schemeClr val="accent2"/>
              </a:solidFill>
              <a:round/>
            </a:ln>
            <a:effectLst>
              <a:outerShdw blurRad="57150" dist="19050" dir="5400000" algn="ctr" rotWithShape="0">
                <a:srgbClr val="000000">
                  <a:alpha val="63000"/>
                </a:srgbClr>
              </a:outerShdw>
            </a:effectLst>
          </c:spPr>
          <c:marker>
            <c:symbol val="none"/>
          </c:marker>
          <c:cat>
            <c:strRef>
              <c:f>'Cantidad de Incidentes'!$C$18:$N$18</c:f>
              <c:strCache>
                <c:ptCount val="12"/>
                <c:pt idx="0">
                  <c:v>ene</c:v>
                </c:pt>
                <c:pt idx="1">
                  <c:v>feb</c:v>
                </c:pt>
                <c:pt idx="2">
                  <c:v>mar</c:v>
                </c:pt>
                <c:pt idx="3">
                  <c:v>abr</c:v>
                </c:pt>
                <c:pt idx="4">
                  <c:v>may</c:v>
                </c:pt>
                <c:pt idx="5">
                  <c:v>jun</c:v>
                </c:pt>
                <c:pt idx="6">
                  <c:v>jul</c:v>
                </c:pt>
                <c:pt idx="7">
                  <c:v>ago</c:v>
                </c:pt>
                <c:pt idx="8">
                  <c:v>sep</c:v>
                </c:pt>
                <c:pt idx="9">
                  <c:v>oct</c:v>
                </c:pt>
                <c:pt idx="10">
                  <c:v>nov</c:v>
                </c:pt>
                <c:pt idx="11">
                  <c:v>dic</c:v>
                </c:pt>
              </c:strCache>
            </c:strRef>
          </c:cat>
          <c:val>
            <c:numRef>
              <c:f>'Cantidad de Incidentes'!$C$21:$N$21</c:f>
              <c:numCache>
                <c:formatCode>0%</c:formatCode>
                <c:ptCount val="12"/>
                <c:pt idx="0">
                  <c:v>1</c:v>
                </c:pt>
                <c:pt idx="1">
                  <c:v>1</c:v>
                </c:pt>
                <c:pt idx="2">
                  <c:v>1</c:v>
                </c:pt>
                <c:pt idx="3">
                  <c:v>1</c:v>
                </c:pt>
                <c:pt idx="4">
                  <c:v>1</c:v>
                </c:pt>
                <c:pt idx="5">
                  <c:v>1</c:v>
                </c:pt>
                <c:pt idx="6">
                  <c:v>1</c:v>
                </c:pt>
                <c:pt idx="7">
                  <c:v>1</c:v>
                </c:pt>
                <c:pt idx="8">
                  <c:v>1</c:v>
                </c:pt>
                <c:pt idx="9">
                  <c:v>1</c:v>
                </c:pt>
                <c:pt idx="10">
                  <c:v>1</c:v>
                </c:pt>
                <c:pt idx="11">
                  <c:v>1</c:v>
                </c:pt>
              </c:numCache>
            </c:numRef>
          </c:val>
          <c:smooth val="0"/>
          <c:extLst>
            <c:ext xmlns:c16="http://schemas.microsoft.com/office/drawing/2014/chart" uri="{C3380CC4-5D6E-409C-BE32-E72D297353CC}">
              <c16:uniqueId val="{00000001-7193-4B52-A4CD-3B0C33A0B4E2}"/>
            </c:ext>
          </c:extLst>
        </c:ser>
        <c:dLbls>
          <c:showLegendKey val="0"/>
          <c:showVal val="0"/>
          <c:showCatName val="0"/>
          <c:showSerName val="0"/>
          <c:showPercent val="0"/>
          <c:showBubbleSize val="0"/>
        </c:dLbls>
        <c:smooth val="0"/>
        <c:axId val="2095411519"/>
        <c:axId val="115066239"/>
      </c:lineChart>
      <c:catAx>
        <c:axId val="2095411519"/>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15066239"/>
        <c:crosses val="autoZero"/>
        <c:auto val="1"/>
        <c:lblAlgn val="ctr"/>
        <c:lblOffset val="100"/>
        <c:noMultiLvlLbl val="0"/>
      </c:catAx>
      <c:valAx>
        <c:axId val="115066239"/>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2095411519"/>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s-CO"/>
    </a:p>
  </c:tx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s-ES"/>
              <a:t>Encuestas</a:t>
            </a:r>
            <a:r>
              <a:rPr lang="es-ES" baseline="0"/>
              <a:t> de Satisfaccion</a:t>
            </a:r>
            <a:endParaRPr lang="es-ES"/>
          </a:p>
        </c:rich>
      </c:tx>
      <c:overlay val="0"/>
      <c:spPr>
        <a:noFill/>
        <a:ln>
          <a:noFill/>
        </a:ln>
        <a:effectLst/>
      </c:spPr>
    </c:title>
    <c:autoTitleDeleted val="0"/>
    <c:plotArea>
      <c:layout/>
      <c:scatterChart>
        <c:scatterStyle val="lineMarker"/>
        <c:varyColors val="0"/>
        <c:ser>
          <c:idx val="0"/>
          <c:order val="0"/>
          <c:spPr>
            <a:ln w="19050" cap="rnd">
              <a:solidFill>
                <a:schemeClr val="accent1"/>
              </a:solidFill>
              <a:round/>
            </a:ln>
            <a:effectLst/>
          </c:spPr>
          <c:marker>
            <c:symbol val="circle"/>
            <c:size val="5"/>
            <c:spPr>
              <a:solidFill>
                <a:schemeClr val="accent1"/>
              </a:solidFill>
              <a:ln w="9525">
                <a:solidFill>
                  <a:schemeClr val="accent1"/>
                </a:solidFill>
              </a:ln>
              <a:effectLst/>
            </c:spPr>
          </c:marker>
          <c:xVal>
            <c:numRef>
              <c:f>'Rotacion de Cartera'!$C$18:$N$18</c:f>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f>'Rotacion de Cartera'!$C$19:$N$19</c:f>
              <c:numCache>
                <c:formatCode>General</c:formatCode>
                <c:ptCount val="12"/>
              </c:numCache>
            </c:numRef>
          </c:yVal>
          <c:smooth val="0"/>
          <c:extLst>
            <c:ext xmlns:c16="http://schemas.microsoft.com/office/drawing/2014/chart" uri="{C3380CC4-5D6E-409C-BE32-E72D297353CC}">
              <c16:uniqueId val="{00000000-3AC1-4699-9AD8-8CF7E6FAA58E}"/>
            </c:ext>
          </c:extLst>
        </c:ser>
        <c:dLbls>
          <c:showLegendKey val="0"/>
          <c:showVal val="0"/>
          <c:showCatName val="0"/>
          <c:showSerName val="0"/>
          <c:showPercent val="0"/>
          <c:showBubbleSize val="0"/>
        </c:dLbls>
        <c:axId val="183408832"/>
        <c:axId val="183409408"/>
        <c:extLst>
          <c:ext xmlns:c15="http://schemas.microsoft.com/office/drawing/2012/chart" uri="{02D57815-91ED-43cb-92C2-25804820EDAC}">
            <c15:filteredScatterSeries>
              <c15:ser>
                <c:idx val="1"/>
                <c:order val="1"/>
                <c:spPr>
                  <a:ln w="19050" cap="rnd">
                    <a:solidFill>
                      <a:schemeClr val="accent2"/>
                    </a:solidFill>
                    <a:round/>
                  </a:ln>
                  <a:effectLst/>
                </c:spPr>
                <c:marker>
                  <c:symbol val="circle"/>
                  <c:size val="5"/>
                  <c:spPr>
                    <a:solidFill>
                      <a:schemeClr val="accent2"/>
                    </a:solidFill>
                    <a:ln w="9525">
                      <a:solidFill>
                        <a:schemeClr val="accent2"/>
                      </a:solidFill>
                    </a:ln>
                    <a:effectLst/>
                  </c:spPr>
                </c:marker>
                <c:xVal>
                  <c:numRef>
                    <c:extLst>
                      <c:ext uri="{02D57815-91ED-43cb-92C2-25804820EDAC}">
                        <c15:formulaRef>
                          <c15:sqref>'Rotacion de Cartera'!$C$18:$N$18</c15:sqref>
                        </c15:formulaRef>
                      </c:ext>
                    </c:extLst>
                    <c:numCache>
                      <c:formatCode>General</c:formatCode>
                      <c:ptCount val="12"/>
                      <c:pt idx="0">
                        <c:v>1</c:v>
                      </c:pt>
                      <c:pt idx="1">
                        <c:v>2</c:v>
                      </c:pt>
                      <c:pt idx="2">
                        <c:v>3</c:v>
                      </c:pt>
                      <c:pt idx="3">
                        <c:v>4</c:v>
                      </c:pt>
                      <c:pt idx="4">
                        <c:v>5</c:v>
                      </c:pt>
                      <c:pt idx="5">
                        <c:v>6</c:v>
                      </c:pt>
                      <c:pt idx="6">
                        <c:v>7</c:v>
                      </c:pt>
                      <c:pt idx="7">
                        <c:v>8</c:v>
                      </c:pt>
                      <c:pt idx="8">
                        <c:v>9</c:v>
                      </c:pt>
                      <c:pt idx="9">
                        <c:v>10</c:v>
                      </c:pt>
                      <c:pt idx="10">
                        <c:v>11</c:v>
                      </c:pt>
                      <c:pt idx="11">
                        <c:v>12</c:v>
                      </c:pt>
                    </c:numCache>
                  </c:numRef>
                </c:xVal>
                <c:yVal>
                  <c:numRef>
                    <c:extLst>
                      <c:ext uri="{02D57815-91ED-43cb-92C2-25804820EDAC}">
                        <c15:formulaRef>
                          <c15:sqref>'Rotacion de Cartera'!$C$20:$N$20</c15:sqref>
                        </c15:formulaRef>
                      </c:ext>
                    </c:extLst>
                    <c:numCache>
                      <c:formatCode>0%</c:formatCode>
                      <c:ptCount val="12"/>
                    </c:numCache>
                  </c:numRef>
                </c:yVal>
                <c:smooth val="0"/>
                <c:extLst>
                  <c:ext xmlns:c16="http://schemas.microsoft.com/office/drawing/2014/chart" uri="{C3380CC4-5D6E-409C-BE32-E72D297353CC}">
                    <c16:uniqueId val="{00000001-3AC1-4699-9AD8-8CF7E6FAA58E}"/>
                  </c:ext>
                </c:extLst>
              </c15:ser>
            </c15:filteredScatterSeries>
          </c:ext>
        </c:extLst>
      </c:scatterChart>
      <c:valAx>
        <c:axId val="18340883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409408"/>
        <c:crosses val="autoZero"/>
        <c:crossBetween val="midCat"/>
      </c:valAx>
      <c:valAx>
        <c:axId val="183409408"/>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83408832"/>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EFICACIA!$B$3:$K$3</c:f>
              <c:numCache>
                <c:formatCode>mmm\-yy</c:formatCode>
                <c:ptCount val="10"/>
                <c:pt idx="0">
                  <c:v>44197</c:v>
                </c:pt>
                <c:pt idx="1">
                  <c:v>44228</c:v>
                </c:pt>
                <c:pt idx="2">
                  <c:v>44256</c:v>
                </c:pt>
                <c:pt idx="3">
                  <c:v>44287</c:v>
                </c:pt>
                <c:pt idx="4">
                  <c:v>44317</c:v>
                </c:pt>
                <c:pt idx="5">
                  <c:v>44348</c:v>
                </c:pt>
                <c:pt idx="6">
                  <c:v>44378</c:v>
                </c:pt>
                <c:pt idx="7">
                  <c:v>44409</c:v>
                </c:pt>
                <c:pt idx="8">
                  <c:v>44440</c:v>
                </c:pt>
                <c:pt idx="9">
                  <c:v>44470</c:v>
                </c:pt>
              </c:numCache>
            </c:numRef>
          </c:xVal>
          <c:yVal>
            <c:numRef>
              <c:f>EFICACIA!$B$11:$K$11</c:f>
              <c:numCache>
                <c:formatCode>0%</c:formatCode>
                <c:ptCount val="10"/>
                <c:pt idx="0">
                  <c:v>1</c:v>
                </c:pt>
                <c:pt idx="1">
                  <c:v>1</c:v>
                </c:pt>
                <c:pt idx="2">
                  <c:v>1</c:v>
                </c:pt>
                <c:pt idx="3">
                  <c:v>1</c:v>
                </c:pt>
                <c:pt idx="4">
                  <c:v>1</c:v>
                </c:pt>
                <c:pt idx="5">
                  <c:v>1</c:v>
                </c:pt>
                <c:pt idx="6">
                  <c:v>1</c:v>
                </c:pt>
              </c:numCache>
            </c:numRef>
          </c:yVal>
          <c:smooth val="0"/>
          <c:extLst>
            <c:ext xmlns:c16="http://schemas.microsoft.com/office/drawing/2014/chart" uri="{C3380CC4-5D6E-409C-BE32-E72D297353CC}">
              <c16:uniqueId val="{00000001-6BDC-41DA-9AF1-3BCE0AB94F53}"/>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EFICACIA!$B$3:$M$3</c:f>
              <c:numCache>
                <c:formatCode>mmm\-yy</c:formatCode>
                <c:ptCount val="12"/>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numCache>
            </c:numRef>
          </c:xVal>
          <c:yVal>
            <c:numRef>
              <c:f>EFICACIA!$B$13:$M$13</c:f>
              <c:numCache>
                <c:formatCode>0%</c:formatCode>
                <c:ptCount val="12"/>
                <c:pt idx="0">
                  <c:v>0.94139907467135875</c:v>
                </c:pt>
                <c:pt idx="1">
                  <c:v>0.94699042465542971</c:v>
                </c:pt>
                <c:pt idx="2">
                  <c:v>0.97526689145047707</c:v>
                </c:pt>
                <c:pt idx="3">
                  <c:v>0.94726386241068217</c:v>
                </c:pt>
                <c:pt idx="4">
                  <c:v>0.98470263037456274</c:v>
                </c:pt>
                <c:pt idx="5">
                  <c:v>0.97234639236088016</c:v>
                </c:pt>
                <c:pt idx="6">
                  <c:v>0.98552649453926899</c:v>
                </c:pt>
              </c:numCache>
            </c:numRef>
          </c:yVal>
          <c:smooth val="0"/>
          <c:extLst>
            <c:ext xmlns:c16="http://schemas.microsoft.com/office/drawing/2014/chart" uri="{C3380CC4-5D6E-409C-BE32-E72D297353CC}">
              <c16:uniqueId val="{00000001-7A74-4A77-AAA2-FE8DD08A18DA}"/>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scatterChart>
        <c:scatterStyle val="lineMarker"/>
        <c:varyColors val="0"/>
        <c:ser>
          <c:idx val="0"/>
          <c:order val="0"/>
          <c:spPr>
            <a:ln w="19050" cap="rnd">
              <a:noFill/>
              <a:round/>
            </a:ln>
            <a:effectLst/>
          </c:spPr>
          <c:marker>
            <c:symbol val="circle"/>
            <c:size val="5"/>
            <c:spPr>
              <a:solidFill>
                <a:schemeClr val="accent1"/>
              </a:solidFill>
              <a:ln w="9525">
                <a:solidFill>
                  <a:schemeClr val="accent1"/>
                </a:solidFill>
              </a:ln>
              <a:effectLst/>
            </c:spPr>
          </c:marker>
          <c:trendline>
            <c:spPr>
              <a:ln w="19050" cap="rnd">
                <a:solidFill>
                  <a:schemeClr val="accent1"/>
                </a:solidFill>
                <a:prstDash val="sysDot"/>
              </a:ln>
              <a:effectLst/>
            </c:spPr>
            <c:trendlineType val="linear"/>
            <c:dispRSqr val="0"/>
            <c:dispEq val="0"/>
          </c:trendline>
          <c:xVal>
            <c:numRef>
              <c:f>EFICACIA!$B$3:$M$3</c:f>
              <c:numCache>
                <c:formatCode>mmm\-yy</c:formatCode>
                <c:ptCount val="12"/>
                <c:pt idx="0">
                  <c:v>44197</c:v>
                </c:pt>
                <c:pt idx="1">
                  <c:v>44228</c:v>
                </c:pt>
                <c:pt idx="2">
                  <c:v>44256</c:v>
                </c:pt>
                <c:pt idx="3">
                  <c:v>44287</c:v>
                </c:pt>
                <c:pt idx="4">
                  <c:v>44317</c:v>
                </c:pt>
                <c:pt idx="5">
                  <c:v>44348</c:v>
                </c:pt>
                <c:pt idx="6">
                  <c:v>44378</c:v>
                </c:pt>
                <c:pt idx="7">
                  <c:v>44409</c:v>
                </c:pt>
                <c:pt idx="8">
                  <c:v>44440</c:v>
                </c:pt>
                <c:pt idx="9">
                  <c:v>44470</c:v>
                </c:pt>
                <c:pt idx="10">
                  <c:v>44501</c:v>
                </c:pt>
                <c:pt idx="11">
                  <c:v>44531</c:v>
                </c:pt>
              </c:numCache>
            </c:numRef>
          </c:xVal>
          <c:yVal>
            <c:numRef>
              <c:f>EFICACIA!$B$6:$M$6</c:f>
              <c:numCache>
                <c:formatCode>0%</c:formatCode>
                <c:ptCount val="12"/>
                <c:pt idx="2">
                  <c:v>1</c:v>
                </c:pt>
                <c:pt idx="5">
                  <c:v>1</c:v>
                </c:pt>
              </c:numCache>
            </c:numRef>
          </c:yVal>
          <c:smooth val="0"/>
          <c:extLst>
            <c:ext xmlns:c16="http://schemas.microsoft.com/office/drawing/2014/chart" uri="{C3380CC4-5D6E-409C-BE32-E72D297353CC}">
              <c16:uniqueId val="{00000001-9708-48E0-A3B1-BC5D8DEF3C1F}"/>
            </c:ext>
          </c:extLst>
        </c:ser>
        <c:dLbls>
          <c:showLegendKey val="0"/>
          <c:showVal val="0"/>
          <c:showCatName val="0"/>
          <c:showSerName val="0"/>
          <c:showPercent val="0"/>
          <c:showBubbleSize val="0"/>
        </c:dLbls>
        <c:axId val="793010576"/>
        <c:axId val="793017792"/>
      </c:scatterChart>
      <c:valAx>
        <c:axId val="793010576"/>
        <c:scaling>
          <c:orientation val="minMax"/>
        </c:scaling>
        <c:delete val="0"/>
        <c:axPos val="b"/>
        <c:majorGridlines>
          <c:spPr>
            <a:ln w="9525" cap="flat" cmpd="sng" algn="ctr">
              <a:solidFill>
                <a:schemeClr val="tx1">
                  <a:lumMod val="15000"/>
                  <a:lumOff val="85000"/>
                </a:schemeClr>
              </a:solidFill>
              <a:round/>
            </a:ln>
            <a:effectLst/>
          </c:spPr>
        </c:majorGridlines>
        <c:numFmt formatCode="mmm\-yy"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7792"/>
        <c:crosses val="autoZero"/>
        <c:crossBetween val="midCat"/>
        <c:majorUnit val="25"/>
      </c:valAx>
      <c:valAx>
        <c:axId val="793017792"/>
        <c:scaling>
          <c:orientation val="minMax"/>
          <c:max val="1"/>
          <c:min val="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793010576"/>
        <c:crosses val="autoZero"/>
        <c:crossBetween val="midCat"/>
        <c:minorUnit val="5.000000000000001E-2"/>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5.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6.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7.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8.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9.xml><?xml version="1.0" encoding="utf-8"?>
<cs:colorStyle xmlns:cs="http://schemas.microsoft.com/office/drawing/2012/chartStyle" xmlns:a="http://schemas.openxmlformats.org/drawingml/2006/main" meth="cycle" id="13">
  <a:schemeClr val="accent6"/>
  <a:schemeClr val="accent5"/>
  <a:schemeClr val="accent4"/>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3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1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3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1.xml><?xml version="1.0" encoding="utf-8"?>
<cs:chartStyle xmlns:cs="http://schemas.microsoft.com/office/drawing/2012/chartStyle" xmlns:a="http://schemas.openxmlformats.org/drawingml/2006/main" id="23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2.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3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5.xml><?xml version="1.0" encoding="utf-8"?>
<cs:chartStyle xmlns:cs="http://schemas.microsoft.com/office/drawing/2012/chartStyle" xmlns:a="http://schemas.openxmlformats.org/drawingml/2006/main" id="23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38100"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8"/>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b="0" kern="1200" cap="none" spc="0" normalizeH="0" baseline="0"/>
  </cs:title>
  <cs:trendline>
    <cs:lnRef idx="0">
      <cs:styleClr val="auto"/>
    </cs:lnRef>
    <cs:fillRef idx="0"/>
    <cs:effectRef idx="0"/>
    <cs:fontRef idx="minor">
      <a:schemeClr val="dk1"/>
    </cs:fontRef>
    <cs:spPr>
      <a:ln w="19050" cap="rnd">
        <a:solidFill>
          <a:schemeClr val="ph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26.xml><?xml version="1.0" encoding="utf-8"?>
<cs:chartStyle xmlns:cs="http://schemas.microsoft.com/office/drawing/2012/chartStyle" xmlns:a="http://schemas.openxmlformats.org/drawingml/2006/main" id="239">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800" kern="1200" cap="all" spc="1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b="0" i="0" u="none" strike="noStrike" kern="1200" baseline="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2225" cap="rnd">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a:solidFill>
          <a:schemeClr val="phClr"/>
        </a:solidFill>
        <a:round/>
      </a:ln>
    </cs:spPr>
  </cs:dataPointMarker>
  <cs:dataPointMarkerLayout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15000"/>
            <a:lumOff val="85000"/>
          </a:schemeClr>
        </a:solidFill>
      </a:ln>
    </cs:spPr>
  </cs:downBar>
  <cs:dropLine>
    <cs:lnRef idx="0"/>
    <cs:fillRef idx="0"/>
    <cs:effectRef idx="0"/>
    <cs:fontRef idx="minor">
      <a:schemeClr val="dk1"/>
    </cs:fontRef>
    <cs:spPr>
      <a:ln w="9525">
        <a:solidFill>
          <a:schemeClr val="tx1">
            <a:lumMod val="35000"/>
            <a:lumOff val="65000"/>
          </a:schemeClr>
        </a:solidFill>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cap="all" spc="120" normalizeH="0" baseline="0"/>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8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spPr>
      <a:ln w="9525" cap="flat" cmpd="sng" algn="ctr">
        <a:solidFill>
          <a:schemeClr val="dk1">
            <a:lumMod val="15000"/>
            <a:lumOff val="85000"/>
          </a:schemeClr>
        </a:solidFill>
        <a:round/>
      </a:ln>
    </cs:spPr>
    <cs:defRPr sz="900" kern="1200"/>
  </cs:valueAxis>
  <cs:wall>
    <cs:lnRef idx="0"/>
    <cs:fillRef idx="0"/>
    <cs:effectRef idx="0"/>
    <cs:fontRef idx="minor">
      <a:schemeClr val="dk1"/>
    </cs:fontRef>
  </cs:wall>
</cs:chartStyle>
</file>

<file path=xl/charts/style2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3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4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5.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6.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7.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8.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49.xml><?xml version="1.0" encoding="utf-8"?>
<cs:chartStyle xmlns:cs="http://schemas.microsoft.com/office/drawing/2012/chartStyle" xmlns:a="http://schemas.openxmlformats.org/drawingml/2006/main" id="3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dk1">
            <a:lumMod val="50000"/>
            <a:lumOff val="50000"/>
          </a:schemeClr>
        </a:solidFill>
        <a:round/>
      </a:ln>
    </cs:spPr>
  </cs:gridlineMajor>
  <cs:gridlineMinor>
    <cs:lnRef idx="0"/>
    <cs:fillRef idx="0"/>
    <cs:effectRef idx="0"/>
    <cs:fontRef idx="minor">
      <a:schemeClr val="tx1"/>
    </cs:fontRef>
    <cs:spPr>
      <a:ln>
        <a:solidFill>
          <a:schemeClr val="dk1">
            <a:lumMod val="60000"/>
            <a:lumOff val="40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9525" cap="flat" cmpd="sng" algn="ctr">
        <a:solidFill>
          <a:schemeClr val="dk1">
            <a:lumMod val="50000"/>
            <a:lumOff val="50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50.xml><?xml version="1.0" encoding="utf-8"?>
<cs:chartStyle xmlns:cs="http://schemas.microsoft.com/office/drawing/2012/chartStyle" xmlns:a="http://schemas.openxmlformats.org/drawingml/2006/main" id="203">
  <cs:axisTitle>
    <cs:lnRef idx="0"/>
    <cs:fillRef idx="0"/>
    <cs:effectRef idx="0"/>
    <cs:fontRef idx="minor">
      <a:schemeClr val="tx1">
        <a:lumMod val="65000"/>
        <a:lumOff val="35000"/>
      </a:schemeClr>
    </cs:fontRef>
    <cs:defRPr sz="900" b="1" kern="1200"/>
  </cs:axisTitle>
  <cs:categoryAxis>
    <cs:lnRef idx="0"/>
    <cs:fillRef idx="0"/>
    <cs:effectRef idx="0"/>
    <cs:fontRef idx="minor">
      <a:schemeClr val="tx1">
        <a:lumMod val="65000"/>
        <a:lumOff val="35000"/>
      </a:schemeClr>
    </cs:fontRef>
    <cs:spPr>
      <a:ln w="19050"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styleClr val="auto"/>
    </cs:effectRef>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
  <cs:dataPoint3D>
    <cs:lnRef idx="0"/>
    <cs:fillRef idx="0">
      <cs:styleClr val="auto"/>
    </cs:fillRef>
    <cs:effectRef idx="0"/>
    <cs:fontRef idx="minor">
      <a:schemeClr val="dk1"/>
    </cs:fontRef>
    <cs:spPr>
      <a:pattFill prst="narHorz">
        <a:fgClr>
          <a:schemeClr val="phClr"/>
        </a:fgClr>
        <a:bgClr>
          <a:schemeClr val="phClr">
            <a:lumMod val="20000"/>
            <a:lumOff val="80000"/>
          </a:schemeClr>
        </a:bgClr>
      </a:pattFill>
      <a:effectLst>
        <a:innerShdw blurRad="114300">
          <a:schemeClr val="phClr"/>
        </a:innerShdw>
      </a:effectLst>
    </cs:spPr>
  </cs:dataPoint3D>
  <cs:dataPointLine>
    <cs:lnRef idx="0">
      <cs:styleClr val="auto"/>
    </cs:lnRef>
    <cs:fillRef idx="0"/>
    <cs:effectRef idx="0"/>
    <cs:fontRef idx="minor">
      <a:schemeClr val="dk1"/>
    </cs:fontRef>
    <cs:spPr>
      <a:ln w="28575" cap="rnd">
        <a:solidFill>
          <a:schemeClr val="phClr"/>
        </a:solidFill>
        <a:round/>
      </a:ln>
    </cs:spPr>
  </cs:dataPointLine>
  <cs:dataPointMarker>
    <cs:lnRef idx="0"/>
    <cs:fillRef idx="0">
      <cs:styleClr val="auto"/>
    </cs:fillRef>
    <cs:effectRef idx="0"/>
    <cs:fontRef idx="minor">
      <a:schemeClr val="dk1"/>
    </cs:fontRef>
    <cs:spPr>
      <a:solidFill>
        <a:schemeClr val="ph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a:solidFill>
          <a:schemeClr val="tx1">
            <a:lumMod val="15000"/>
            <a:lumOff val="85000"/>
          </a:schemeClr>
        </a:solidFill>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inor">
      <a:schemeClr val="tx1">
        <a:lumMod val="50000"/>
        <a:lumOff val="50000"/>
      </a:schemeClr>
    </cs:fontRef>
    <cs:defRPr sz="1800" b="1" kern="1200" cap="all" spc="15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dk1"/>
    </cs:fontRef>
  </cs:wall>
</cs:chartStyle>
</file>

<file path=xl/charts/style51.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52.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4.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55.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56.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7.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8.xml><?xml version="1.0" encoding="utf-8"?>
<cs:chartStyle xmlns:cs="http://schemas.microsoft.com/office/drawing/2012/chartStyle" xmlns:a="http://schemas.openxmlformats.org/drawingml/2006/main" id="233">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9525" cap="flat" cmpd="sng" algn="ctr">
        <a:solidFill>
          <a:schemeClr val="lt1">
            <a:lumMod val="95000"/>
            <a:alpha val="10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charts/style59.xml><?xml version="1.0" encoding="utf-8"?>
<cs:chartStyle xmlns:cs="http://schemas.microsoft.com/office/drawing/2012/chartStyle" xmlns:a="http://schemas.openxmlformats.org/drawingml/2006/main" id="288">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dk1">
        <a:lumMod val="75000"/>
        <a:lumOff val="25000"/>
      </a:schemeClr>
    </cs:fontRef>
    <cs:defRPr sz="900" kern="1200"/>
  </cs:dataLabel>
  <cs:dataLabelCallout>
    <cs:lnRef idx="0"/>
    <cs:fillRef idx="0"/>
    <cs:effectRef idx="0"/>
    <cs:fontRef idx="minor">
      <a:schemeClr val="lt1"/>
    </cs:fontRef>
    <cs:spPr>
      <a:solidFill>
        <a:schemeClr val="dk1">
          <a:lumMod val="65000"/>
          <a:lumOff val="35000"/>
          <a:alpha val="75000"/>
        </a:schemeClr>
      </a:solidFill>
    </cs:spPr>
    <cs:defRPr sz="9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solidFill>
        <a:schemeClr val="phClr">
          <a:alpha val="85000"/>
        </a:schemeClr>
      </a:solidFill>
      <a:ln w="9525" cap="flat" cmpd="sng" algn="ctr">
        <a:solidFill>
          <a:schemeClr val="phClr">
            <a:lumMod val="75000"/>
          </a:schemeClr>
        </a:solidFill>
        <a:round/>
      </a:ln>
    </cs:spPr>
  </cs:dataPoint>
  <cs:dataPoint3D>
    <cs:lnRef idx="0">
      <cs:styleClr val="auto"/>
    </cs:lnRef>
    <cs:fillRef idx="0">
      <cs:styleClr val="auto"/>
    </cs:fillRef>
    <cs:effectRef idx="0">
      <cs:styleClr val="auto"/>
    </cs:effectRef>
    <cs:fontRef idx="minor">
      <a:schemeClr val="dk1"/>
    </cs:fontRef>
    <cs:spPr>
      <a:solidFill>
        <a:schemeClr val="phClr">
          <a:alpha val="85000"/>
        </a:schemeClr>
      </a:solidFill>
      <a:ln w="9525" cap="flat" cmpd="sng" algn="ctr">
        <a:solidFill>
          <a:schemeClr val="phClr">
            <a:lumMod val="75000"/>
          </a:schemeClr>
        </a:solidFill>
        <a:round/>
      </a:ln>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spPr>
      <a:solidFill>
        <a:schemeClr val="lt1">
          <a:lumMod val="95000"/>
        </a:schemeClr>
      </a:solidFill>
      <a:sp3d/>
    </cs:spPr>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w="9525" cap="flat" cmpd="sng" algn="ctr">
        <a:solidFill>
          <a:schemeClr val="dk1">
            <a:lumMod val="5000"/>
            <a:lumOff val="95000"/>
          </a:schemeClr>
        </a:solidFill>
        <a:round/>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60.xml><?xml version="1.0" encoding="utf-8"?>
<cs:chartStyle xmlns:cs="http://schemas.microsoft.com/office/drawing/2012/chartStyle" xmlns:a="http://schemas.openxmlformats.org/drawingml/2006/main" id="236">
  <cs:axisTitle>
    <cs:lnRef idx="0"/>
    <cs:fillRef idx="0"/>
    <cs:effectRef idx="0"/>
    <cs:fontRef idx="minor">
      <a:schemeClr val="lt1">
        <a:lumMod val="75000"/>
      </a:schemeClr>
    </cs:fontRef>
    <cs:defRPr sz="900" b="1" kern="1200"/>
  </cs:axisTitle>
  <cs:categoryAxis>
    <cs:lnRef idx="0"/>
    <cs:fillRef idx="0"/>
    <cs:effectRef idx="0"/>
    <cs:fontRef idx="minor">
      <a:schemeClr val="lt1">
        <a:lumMod val="75000"/>
      </a:schemeClr>
    </cs:fontRef>
    <cs:defRPr sz="900" kern="1200"/>
  </cs:categoryAxis>
  <cs:chartArea>
    <cs:lnRef idx="0"/>
    <cs:fillRef idx="0"/>
    <cs:effectRef idx="0"/>
    <cs:fontRef idx="minor">
      <a:schemeClr val="dk1"/>
    </cs:fontRef>
    <cs:spPr>
      <a:solidFill>
        <a:schemeClr val="dk1">
          <a:lumMod val="75000"/>
          <a:lumOff val="25000"/>
        </a:schemeClr>
      </a:solidFill>
      <a:ln w="9525" cap="flat" cmpd="sng" algn="ctr">
        <a:solidFill>
          <a:schemeClr val="dk1">
            <a:lumMod val="15000"/>
            <a:lumOff val="85000"/>
          </a:schemeClr>
        </a:solidFill>
        <a:round/>
      </a:ln>
    </cs:spPr>
    <cs:defRPr sz="900" kern="1200"/>
  </cs:chartArea>
  <cs:dataLabel>
    <cs:lnRef idx="0"/>
    <cs:fillRef idx="0"/>
    <cs:effectRef idx="0"/>
    <cs:fontRef idx="minor">
      <a:schemeClr val="lt1">
        <a:lumMod val="75000"/>
      </a:schemeClr>
    </cs:fontRef>
    <cs:defRPr sz="900" kern="1200"/>
  </cs:dataLabel>
  <cs:dataLabelCallout>
    <cs:lnRef idx="0"/>
    <cs:fillRef idx="0"/>
    <cs:effectRef idx="0"/>
    <cs:fontRef idx="minor">
      <a:schemeClr val="lt1">
        <a:lumMod val="15000"/>
        <a:lumOff val="85000"/>
      </a:schemeClr>
    </cs:fontRef>
    <cs:spPr>
      <a:solidFill>
        <a:schemeClr val="dk1">
          <a:lumMod val="65000"/>
          <a:lumOff val="35000"/>
        </a:schemeClr>
      </a:solidFill>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0"/>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
  <cs:dataPoint3D>
    <cs:lnRef idx="0">
      <cs:styleClr val="auto"/>
    </cs:lnRef>
    <cs:fillRef idx="0">
      <cs:styleClr val="auto"/>
    </cs:fillRef>
    <cs:effectRef idx="0">
      <cs:styleClr val="auto"/>
    </cs:effectRef>
    <cs:fontRef idx="minor">
      <a:schemeClr val="dk1"/>
    </cs:fontRef>
    <cs:spPr>
      <a:ln w="9525" cap="flat" cmpd="sng" algn="ctr">
        <a:solidFill>
          <a:schemeClr val="phClr"/>
        </a:solidFill>
        <a:miter lim="800000"/>
      </a:ln>
      <a:effectLst>
        <a:glow rad="63500">
          <a:schemeClr val="phClr">
            <a:satMod val="175000"/>
            <a:alpha val="25000"/>
          </a:schemeClr>
        </a:glow>
      </a:effectLst>
    </cs:spPr>
  </cs:dataPoint3D>
  <cs:dataPointLine>
    <cs:lnRef idx="0">
      <cs:styleClr val="auto"/>
    </cs:lnRef>
    <cs:fillRef idx="0">
      <cs:styleClr val="auto"/>
    </cs:fillRef>
    <cs:effectRef idx="0">
      <cs:styleClr val="auto"/>
    </cs:effectRef>
    <cs:fontRef idx="minor">
      <a:schemeClr val="dk1"/>
    </cs:fontRef>
    <cs:spPr>
      <a:ln w="22225" cap="rnd">
        <a:solidFill>
          <a:schemeClr val="phClr"/>
        </a:solidFill>
      </a:ln>
      <a:effectLst>
        <a:glow rad="139700">
          <a:schemeClr val="phClr">
            <a:satMod val="175000"/>
            <a:alpha val="14000"/>
          </a:schemeClr>
        </a:glow>
      </a:effectLst>
    </cs:spPr>
  </cs:dataPointLine>
  <cs:dataPointMarker>
    <cs:lnRef idx="0">
      <cs:styleClr val="auto"/>
    </cs:lnRef>
    <cs:fillRef idx="0">
      <cs:styleClr val="auto"/>
    </cs:fillRef>
    <cs:effectRef idx="0">
      <cs:styleClr val="auto"/>
    </cs:effectRef>
    <cs:fontRef idx="minor">
      <a:schemeClr val="dk1"/>
    </cs:fontRef>
    <cs:spPr>
      <a:solidFill>
        <a:schemeClr val="phClr">
          <a:lumMod val="60000"/>
          <a:lumOff val="40000"/>
        </a:schemeClr>
      </a:solidFill>
      <a:effectLst>
        <a:glow rad="63500">
          <a:schemeClr val="phClr">
            <a:satMod val="175000"/>
            <a:alpha val="25000"/>
          </a:schemeClr>
        </a:glow>
      </a:effectLst>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lt1">
        <a:lumMod val="75000"/>
      </a:schemeClr>
    </cs:fontRef>
    <cs:spPr>
      <a:ln w="9525">
        <a:solidFill>
          <a:schemeClr val="dk1">
            <a:lumMod val="50000"/>
            <a:lumOff val="50000"/>
          </a:schemeClr>
        </a:solidFill>
      </a:ln>
    </cs:spPr>
    <cs:defRPr sz="900" kern="1200"/>
  </cs:dataTable>
  <cs:downBar>
    <cs:lnRef idx="0"/>
    <cs:fillRef idx="0"/>
    <cs:effectRef idx="0"/>
    <cs:fontRef idx="minor">
      <a:schemeClr val="lt1"/>
    </cs:fontRef>
    <cs:spPr>
      <a:solidFill>
        <a:schemeClr val="dk1">
          <a:lumMod val="50000"/>
          <a:lumOff val="50000"/>
        </a:schemeClr>
      </a:solidFill>
      <a:ln w="9525">
        <a:solidFill>
          <a:schemeClr val="dk1">
            <a:lumMod val="75000"/>
          </a:schemeClr>
        </a:solidFill>
        <a:round/>
      </a:ln>
    </cs:spPr>
  </cs:downBar>
  <cs:dropLine>
    <cs:lnRef idx="0"/>
    <cs:fillRef idx="0"/>
    <cs:effectRef idx="0"/>
    <cs:fontRef idx="minor">
      <a:schemeClr val="dk1"/>
    </cs:fontRef>
    <cs:spPr>
      <a:ln w="9525">
        <a:solidFill>
          <a:schemeClr val="lt1">
            <a:lumMod val="50000"/>
          </a:schemeClr>
        </a:solidFill>
        <a:round/>
      </a:ln>
    </cs:spPr>
  </cs:dropLine>
  <cs:errorBar>
    <cs:lnRef idx="0"/>
    <cs:fillRef idx="0"/>
    <cs:effectRef idx="0"/>
    <cs:fontRef idx="minor">
      <a:schemeClr val="dk1"/>
    </cs:fontRef>
    <cs:spPr>
      <a:ln w="9525">
        <a:solidFill>
          <a:schemeClr val="lt1">
            <a:lumMod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75000"/>
                <a:lumOff val="25000"/>
              </a:schemeClr>
            </a:gs>
            <a:gs pos="0">
              <a:schemeClr val="dk1">
                <a:lumMod val="65000"/>
                <a:lumOff val="35000"/>
              </a:schemeClr>
            </a:gs>
          </a:gsLst>
          <a:lin ang="5400000" scaled="0"/>
        </a:gradFill>
        <a:round/>
      </a:ln>
    </cs:spPr>
  </cs:gridlineMajor>
  <cs:gridlineMinor>
    <cs:lnRef idx="0"/>
    <cs:fillRef idx="0"/>
    <cs:effectRef idx="0"/>
    <cs:fontRef idx="minor">
      <a:schemeClr val="dk1"/>
    </cs:fontRef>
    <cs:spPr>
      <a:ln w="9525" cap="flat" cmpd="sng" algn="ctr">
        <a:gradFill>
          <a:gsLst>
            <a:gs pos="100000">
              <a:schemeClr val="dk1">
                <a:lumMod val="75000"/>
                <a:lumOff val="25000"/>
                <a:alpha val="25000"/>
              </a:schemeClr>
            </a:gs>
            <a:gs pos="0">
              <a:schemeClr val="dk1">
                <a:lumMod val="65000"/>
                <a:lumOff val="35000"/>
                <a:alpha val="25000"/>
              </a:schemeClr>
            </a:gs>
          </a:gsLst>
          <a:lin ang="5400000" scaled="0"/>
        </a:gradFill>
        <a:round/>
      </a:ln>
    </cs:spPr>
  </cs:gridlineMinor>
  <cs:hiLoLine>
    <cs:lnRef idx="0"/>
    <cs:fillRef idx="0"/>
    <cs:effectRef idx="0"/>
    <cs:fontRef idx="minor">
      <a:schemeClr val="dk1"/>
    </cs:fontRef>
    <cs:spPr>
      <a:ln w="9525">
        <a:solidFill>
          <a:schemeClr val="lt1">
            <a:lumMod val="50000"/>
          </a:schemeClr>
        </a:solidFill>
        <a:round/>
      </a:ln>
    </cs:spPr>
  </cs:hiLoLine>
  <cs:leaderLine>
    <cs:lnRef idx="0"/>
    <cs:fillRef idx="0"/>
    <cs:effectRef idx="0"/>
    <cs:fontRef idx="minor">
      <a:schemeClr val="dk1"/>
    </cs:fontRef>
    <cs:spPr>
      <a:ln w="9525">
        <a:solidFill>
          <a:schemeClr val="lt1">
            <a:lumMod val="50000"/>
          </a:schemeClr>
        </a:solidFill>
        <a:round/>
      </a:ln>
    </cs:spPr>
  </cs:leaderLine>
  <cs:legend>
    <cs:lnRef idx="0"/>
    <cs:fillRef idx="0"/>
    <cs:effectRef idx="0"/>
    <cs:fontRef idx="minor">
      <a:schemeClr val="lt1">
        <a:lumMod val="7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lt1">
        <a:lumMod val="75000"/>
      </a:schemeClr>
    </cs:fontRef>
    <cs:defRPr sz="900" kern="1200"/>
  </cs:seriesAxis>
  <cs:seriesLine>
    <cs:lnRef idx="0"/>
    <cs:fillRef idx="0"/>
    <cs:effectRef idx="0"/>
    <cs:fontRef idx="minor">
      <a:schemeClr val="dk1"/>
    </cs:fontRef>
    <cs:spPr>
      <a:ln w="9525">
        <a:solidFill>
          <a:schemeClr val="lt1">
            <a:lumMod val="50000"/>
          </a:schemeClr>
        </a:solidFill>
        <a:round/>
      </a:ln>
    </cs:spPr>
  </cs:seriesLine>
  <cs:title>
    <cs:lnRef idx="0"/>
    <cs:fillRef idx="0"/>
    <cs:effectRef idx="0"/>
    <cs:fontRef idx="minor">
      <a:schemeClr val="lt1">
        <a:lumMod val="85000"/>
      </a:schemeClr>
    </cs:fontRef>
    <cs:defRPr sz="1400" b="1" kern="1200" cap="none" baseline="0"/>
  </cs:title>
  <cs:trendline>
    <cs:lnRef idx="0">
      <cs:styleClr val="auto"/>
    </cs:lnRef>
    <cs:fillRef idx="0"/>
    <cs:effectRef idx="0"/>
    <cs:fontRef idx="minor">
      <a:schemeClr val="lt1"/>
    </cs:fontRef>
    <cs:spPr>
      <a:ln w="25400" cap="rnd">
        <a:solidFill>
          <a:schemeClr val="phClr">
            <a:alpha val="50000"/>
          </a:schemeClr>
        </a:solidFill>
      </a:ln>
    </cs:spPr>
  </cs:trendline>
  <cs:trendlineLabel>
    <cs:lnRef idx="0"/>
    <cs:fillRef idx="0"/>
    <cs:effectRef idx="0"/>
    <cs:fontRef idx="minor">
      <a:schemeClr val="lt1">
        <a:lumMod val="75000"/>
      </a:schemeClr>
    </cs:fontRef>
    <cs:defRPr sz="900" kern="1200"/>
  </cs:trendlineLabel>
  <cs:upBar>
    <cs:lnRef idx="0"/>
    <cs:fillRef idx="0"/>
    <cs:effectRef idx="0"/>
    <cs:fontRef idx="minor">
      <a:schemeClr val="dk1"/>
    </cs:fontRef>
    <cs:spPr>
      <a:solidFill>
        <a:schemeClr val="lt1">
          <a:lumMod val="85000"/>
        </a:schemeClr>
      </a:solidFill>
      <a:ln w="9525">
        <a:solidFill>
          <a:schemeClr val="dk1">
            <a:lumMod val="50000"/>
          </a:schemeClr>
        </a:solidFill>
        <a:round/>
      </a:ln>
    </cs:spPr>
  </cs:upBar>
  <cs:valueAxis>
    <cs:lnRef idx="0"/>
    <cs:fillRef idx="0"/>
    <cs:effectRef idx="0"/>
    <cs:fontRef idx="minor">
      <a:schemeClr val="lt1">
        <a:lumMod val="75000"/>
      </a:schemeClr>
    </cs:fontRef>
    <cs:defRPr sz="900" kern="1200"/>
  </cs:valueAxis>
  <cs:wall>
    <cs:lnRef idx="0"/>
    <cs:fillRef idx="0"/>
    <cs:effectRef idx="0"/>
    <cs:fontRef idx="minor">
      <a:schemeClr val="dk1"/>
    </cs:fontRef>
  </cs:wall>
</cs:chartStyle>
</file>

<file path=xl/charts/style61.xml><?xml version="1.0" encoding="utf-8"?>
<cs:chartStyle xmlns:cs="http://schemas.microsoft.com/office/drawing/2012/chartStyle" xmlns:a="http://schemas.openxmlformats.org/drawingml/2006/main" id="231">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charts/style62.xml><?xml version="1.0" encoding="utf-8"?>
<cs:chartStyle xmlns:cs="http://schemas.microsoft.com/office/drawing/2012/chartStyle" xmlns:a="http://schemas.openxmlformats.org/drawingml/2006/main" id="34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7.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_rels/drawing10.xml.rels><?xml version="1.0" encoding="UTF-8" standalone="yes"?>
<Relationships xmlns="http://schemas.openxmlformats.org/package/2006/relationships"><Relationship Id="rId8" Type="http://schemas.openxmlformats.org/officeDocument/2006/relationships/chart" Target="../charts/chart27.xml"/><Relationship Id="rId3" Type="http://schemas.openxmlformats.org/officeDocument/2006/relationships/chart" Target="../charts/chart22.xml"/><Relationship Id="rId7" Type="http://schemas.openxmlformats.org/officeDocument/2006/relationships/chart" Target="../charts/chart26.xml"/><Relationship Id="rId2" Type="http://schemas.openxmlformats.org/officeDocument/2006/relationships/chart" Target="../charts/chart21.xml"/><Relationship Id="rId1" Type="http://schemas.openxmlformats.org/officeDocument/2006/relationships/chart" Target="../charts/chart20.xml"/><Relationship Id="rId6" Type="http://schemas.openxmlformats.org/officeDocument/2006/relationships/chart" Target="../charts/chart25.xml"/><Relationship Id="rId5" Type="http://schemas.openxmlformats.org/officeDocument/2006/relationships/chart" Target="../charts/chart24.xml"/><Relationship Id="rId4" Type="http://schemas.openxmlformats.org/officeDocument/2006/relationships/chart" Target="../charts/chart23.xml"/></Relationships>
</file>

<file path=xl/drawings/_rels/drawing11.xml.rels><?xml version="1.0" encoding="UTF-8" standalone="yes"?>
<Relationships xmlns="http://schemas.openxmlformats.org/package/2006/relationships"><Relationship Id="rId8" Type="http://schemas.openxmlformats.org/officeDocument/2006/relationships/chart" Target="../charts/chart34.xml"/><Relationship Id="rId13" Type="http://schemas.openxmlformats.org/officeDocument/2006/relationships/chart" Target="../charts/chart39.xml"/><Relationship Id="rId18" Type="http://schemas.openxmlformats.org/officeDocument/2006/relationships/chart" Target="../charts/chart44.xml"/><Relationship Id="rId3" Type="http://schemas.openxmlformats.org/officeDocument/2006/relationships/chart" Target="../charts/chart29.xml"/><Relationship Id="rId7" Type="http://schemas.openxmlformats.org/officeDocument/2006/relationships/chart" Target="../charts/chart33.xml"/><Relationship Id="rId12" Type="http://schemas.openxmlformats.org/officeDocument/2006/relationships/chart" Target="../charts/chart38.xml"/><Relationship Id="rId17" Type="http://schemas.openxmlformats.org/officeDocument/2006/relationships/chart" Target="../charts/chart43.xml"/><Relationship Id="rId2" Type="http://schemas.openxmlformats.org/officeDocument/2006/relationships/chart" Target="../charts/chart28.xml"/><Relationship Id="rId16" Type="http://schemas.openxmlformats.org/officeDocument/2006/relationships/chart" Target="../charts/chart42.xml"/><Relationship Id="rId1" Type="http://schemas.openxmlformats.org/officeDocument/2006/relationships/image" Target="../media/image1.jpg"/><Relationship Id="rId6" Type="http://schemas.openxmlformats.org/officeDocument/2006/relationships/chart" Target="../charts/chart32.xml"/><Relationship Id="rId11" Type="http://schemas.openxmlformats.org/officeDocument/2006/relationships/chart" Target="../charts/chart37.xml"/><Relationship Id="rId5" Type="http://schemas.openxmlformats.org/officeDocument/2006/relationships/chart" Target="../charts/chart31.xml"/><Relationship Id="rId15" Type="http://schemas.openxmlformats.org/officeDocument/2006/relationships/chart" Target="../charts/chart41.xml"/><Relationship Id="rId10" Type="http://schemas.openxmlformats.org/officeDocument/2006/relationships/chart" Target="../charts/chart36.xml"/><Relationship Id="rId19" Type="http://schemas.openxmlformats.org/officeDocument/2006/relationships/image" Target="../media/image3.png"/><Relationship Id="rId4" Type="http://schemas.openxmlformats.org/officeDocument/2006/relationships/chart" Target="../charts/chart30.xml"/><Relationship Id="rId9" Type="http://schemas.openxmlformats.org/officeDocument/2006/relationships/chart" Target="../charts/chart35.xml"/><Relationship Id="rId14" Type="http://schemas.openxmlformats.org/officeDocument/2006/relationships/chart" Target="../charts/chart40.xml"/></Relationships>
</file>

<file path=xl/drawings/_rels/drawing12.xml.rels><?xml version="1.0" encoding="UTF-8" standalone="yes"?>
<Relationships xmlns="http://schemas.openxmlformats.org/package/2006/relationships"><Relationship Id="rId3" Type="http://schemas.openxmlformats.org/officeDocument/2006/relationships/image" Target="../media/image1.jpg"/><Relationship Id="rId2" Type="http://schemas.openxmlformats.org/officeDocument/2006/relationships/chart" Target="../charts/chart46.xml"/><Relationship Id="rId1" Type="http://schemas.openxmlformats.org/officeDocument/2006/relationships/chart" Target="../charts/chart45.xml"/></Relationships>
</file>

<file path=xl/drawings/_rels/drawing13.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47.xml"/></Relationships>
</file>

<file path=xl/drawings/_rels/drawing14.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48.xml"/></Relationships>
</file>

<file path=xl/drawings/_rels/drawing15.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49.xml"/></Relationships>
</file>

<file path=xl/drawings/_rels/drawing16.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50.xml"/></Relationships>
</file>

<file path=xl/drawings/_rels/drawing17.xml.rels><?xml version="1.0" encoding="UTF-8" standalone="yes"?>
<Relationships xmlns="http://schemas.openxmlformats.org/package/2006/relationships"><Relationship Id="rId2" Type="http://schemas.openxmlformats.org/officeDocument/2006/relationships/image" Target="../media/image1.jpg"/><Relationship Id="rId1" Type="http://schemas.openxmlformats.org/officeDocument/2006/relationships/chart" Target="../charts/chart51.xml"/></Relationships>
</file>

<file path=xl/drawings/_rels/drawing18.xml.rels><?xml version="1.0" encoding="UTF-8" standalone="yes"?>
<Relationships xmlns="http://schemas.openxmlformats.org/package/2006/relationships"><Relationship Id="rId2" Type="http://schemas.openxmlformats.org/officeDocument/2006/relationships/chart" Target="../charts/chart52.xml"/><Relationship Id="rId1" Type="http://schemas.openxmlformats.org/officeDocument/2006/relationships/image" Target="../media/image1.jpg"/></Relationships>
</file>

<file path=xl/drawings/_rels/drawing19.xml.rels><?xml version="1.0" encoding="UTF-8" standalone="yes"?>
<Relationships xmlns="http://schemas.openxmlformats.org/package/2006/relationships"><Relationship Id="rId2" Type="http://schemas.openxmlformats.org/officeDocument/2006/relationships/chart" Target="../charts/chart53.xml"/><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image" Target="../media/image1.jpg"/></Relationships>
</file>

<file path=xl/drawings/_rels/drawing20.xml.rels><?xml version="1.0" encoding="UTF-8" standalone="yes"?>
<Relationships xmlns="http://schemas.openxmlformats.org/package/2006/relationships"><Relationship Id="rId2" Type="http://schemas.openxmlformats.org/officeDocument/2006/relationships/chart" Target="../charts/chart54.xml"/><Relationship Id="rId1" Type="http://schemas.openxmlformats.org/officeDocument/2006/relationships/image" Target="../media/image1.jpg"/></Relationships>
</file>

<file path=xl/drawings/_rels/drawing21.xml.rels><?xml version="1.0" encoding="UTF-8" standalone="yes"?>
<Relationships xmlns="http://schemas.openxmlformats.org/package/2006/relationships"><Relationship Id="rId3" Type="http://schemas.openxmlformats.org/officeDocument/2006/relationships/chart" Target="../charts/chart56.xml"/><Relationship Id="rId2" Type="http://schemas.openxmlformats.org/officeDocument/2006/relationships/chart" Target="../charts/chart55.xml"/><Relationship Id="rId1" Type="http://schemas.openxmlformats.org/officeDocument/2006/relationships/image" Target="../media/image1.jpg"/></Relationships>
</file>

<file path=xl/drawings/_rels/drawing22.xml.rels><?xml version="1.0" encoding="UTF-8" standalone="yes"?>
<Relationships xmlns="http://schemas.openxmlformats.org/package/2006/relationships"><Relationship Id="rId2" Type="http://schemas.openxmlformats.org/officeDocument/2006/relationships/chart" Target="../charts/chart57.xml"/><Relationship Id="rId1" Type="http://schemas.openxmlformats.org/officeDocument/2006/relationships/image" Target="../media/image1.jpg"/></Relationships>
</file>

<file path=xl/drawings/_rels/drawing23.xml.rels><?xml version="1.0" encoding="UTF-8" standalone="yes"?>
<Relationships xmlns="http://schemas.openxmlformats.org/package/2006/relationships"><Relationship Id="rId2" Type="http://schemas.openxmlformats.org/officeDocument/2006/relationships/chart" Target="../charts/chart58.xml"/><Relationship Id="rId1" Type="http://schemas.openxmlformats.org/officeDocument/2006/relationships/image" Target="../media/image1.jpg"/></Relationships>
</file>

<file path=xl/drawings/_rels/drawing24.xml.rels><?xml version="1.0" encoding="UTF-8" standalone="yes"?>
<Relationships xmlns="http://schemas.openxmlformats.org/package/2006/relationships"><Relationship Id="rId2" Type="http://schemas.openxmlformats.org/officeDocument/2006/relationships/chart" Target="../charts/chart59.xml"/><Relationship Id="rId1" Type="http://schemas.openxmlformats.org/officeDocument/2006/relationships/image" Target="../media/image1.jpg"/></Relationships>
</file>

<file path=xl/drawings/_rels/drawing25.xml.rels><?xml version="1.0" encoding="UTF-8" standalone="yes"?>
<Relationships xmlns="http://schemas.openxmlformats.org/package/2006/relationships"><Relationship Id="rId2" Type="http://schemas.openxmlformats.org/officeDocument/2006/relationships/chart" Target="../charts/chart60.xml"/><Relationship Id="rId1" Type="http://schemas.openxmlformats.org/officeDocument/2006/relationships/image" Target="../media/image1.jpg"/></Relationships>
</file>

<file path=xl/drawings/_rels/drawing26.xml.rels><?xml version="1.0" encoding="UTF-8" standalone="yes"?>
<Relationships xmlns="http://schemas.openxmlformats.org/package/2006/relationships"><Relationship Id="rId2" Type="http://schemas.openxmlformats.org/officeDocument/2006/relationships/chart" Target="../charts/chart61.xml"/><Relationship Id="rId1" Type="http://schemas.openxmlformats.org/officeDocument/2006/relationships/image" Target="../media/image1.jpg"/></Relationships>
</file>

<file path=xl/drawings/_rels/drawing27.xml.rels><?xml version="1.0" encoding="UTF-8" standalone="yes"?>
<Relationships xmlns="http://schemas.openxmlformats.org/package/2006/relationships"><Relationship Id="rId2" Type="http://schemas.openxmlformats.org/officeDocument/2006/relationships/chart" Target="../charts/chart62.xml"/><Relationship Id="rId1" Type="http://schemas.openxmlformats.org/officeDocument/2006/relationships/image" Target="../media/image1.jpg"/></Relationships>
</file>

<file path=xl/drawings/_rels/drawing28.xml.rels><?xml version="1.0" encoding="UTF-8" standalone="yes"?>
<Relationships xmlns="http://schemas.openxmlformats.org/package/2006/relationships"><Relationship Id="rId2" Type="http://schemas.openxmlformats.org/officeDocument/2006/relationships/chart" Target="../charts/chart63.xml"/><Relationship Id="rId1" Type="http://schemas.openxmlformats.org/officeDocument/2006/relationships/image" Target="../media/image1.jpg"/></Relationships>
</file>

<file path=xl/drawings/_rels/drawing29.xml.rels><?xml version="1.0" encoding="UTF-8" standalone="yes"?>
<Relationships xmlns="http://schemas.openxmlformats.org/package/2006/relationships"><Relationship Id="rId2" Type="http://schemas.openxmlformats.org/officeDocument/2006/relationships/chart" Target="../charts/chart64.xml"/><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chart" Target="../charts/chart11.xml"/><Relationship Id="rId1" Type="http://schemas.openxmlformats.org/officeDocument/2006/relationships/image" Target="../media/image1.jpg"/></Relationships>
</file>

<file path=xl/drawings/_rels/drawing30.xml.rels><?xml version="1.0" encoding="UTF-8" standalone="yes"?>
<Relationships xmlns="http://schemas.openxmlformats.org/package/2006/relationships"><Relationship Id="rId2" Type="http://schemas.openxmlformats.org/officeDocument/2006/relationships/chart" Target="../charts/chart65.xml"/><Relationship Id="rId1" Type="http://schemas.openxmlformats.org/officeDocument/2006/relationships/image" Target="../media/image1.jpg"/></Relationships>
</file>

<file path=xl/drawings/_rels/drawing31.xml.rels><?xml version="1.0" encoding="UTF-8" standalone="yes"?>
<Relationships xmlns="http://schemas.openxmlformats.org/package/2006/relationships"><Relationship Id="rId1" Type="http://schemas.openxmlformats.org/officeDocument/2006/relationships/chart" Target="../charts/chart66.xml"/></Relationships>
</file>

<file path=xl/drawings/_rels/drawing4.xml.rels><?xml version="1.0" encoding="UTF-8" standalone="yes"?>
<Relationships xmlns="http://schemas.openxmlformats.org/package/2006/relationships"><Relationship Id="rId3" Type="http://schemas.openxmlformats.org/officeDocument/2006/relationships/chart" Target="../charts/chart14.xml"/><Relationship Id="rId2" Type="http://schemas.openxmlformats.org/officeDocument/2006/relationships/chart" Target="../charts/chart13.xml"/><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2" Type="http://schemas.openxmlformats.org/officeDocument/2006/relationships/chart" Target="../charts/chart15.xml"/><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2.emf"/></Relationships>
</file>

<file path=xl/drawings/_rels/drawing9.xml.rels><?xml version="1.0" encoding="UTF-8" standalone="yes"?>
<Relationships xmlns="http://schemas.openxmlformats.org/package/2006/relationships"><Relationship Id="rId3" Type="http://schemas.openxmlformats.org/officeDocument/2006/relationships/chart" Target="../charts/chart19.xml"/><Relationship Id="rId2" Type="http://schemas.openxmlformats.org/officeDocument/2006/relationships/chart" Target="../charts/chart18.xml"/><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13</xdr:col>
      <xdr:colOff>342899</xdr:colOff>
      <xdr:row>3</xdr:row>
      <xdr:rowOff>42863</xdr:rowOff>
    </xdr:from>
    <xdr:to>
      <xdr:col>13</xdr:col>
      <xdr:colOff>6248400</xdr:colOff>
      <xdr:row>3</xdr:row>
      <xdr:rowOff>933451</xdr:rowOff>
    </xdr:to>
    <xdr:graphicFrame macro="">
      <xdr:nvGraphicFramePr>
        <xdr:cNvPr id="2" name="Gráfico 1">
          <a:extLst>
            <a:ext uri="{FF2B5EF4-FFF2-40B4-BE49-F238E27FC236}">
              <a16:creationId xmlns:a16="http://schemas.microsoft.com/office/drawing/2014/main" id="{7E2397C1-9255-4570-9101-64E884022A0E}"/>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380999</xdr:colOff>
      <xdr:row>4</xdr:row>
      <xdr:rowOff>42863</xdr:rowOff>
    </xdr:from>
    <xdr:to>
      <xdr:col>13</xdr:col>
      <xdr:colOff>6286500</xdr:colOff>
      <xdr:row>4</xdr:row>
      <xdr:rowOff>933451</xdr:rowOff>
    </xdr:to>
    <xdr:graphicFrame macro="">
      <xdr:nvGraphicFramePr>
        <xdr:cNvPr id="3" name="Gráfico 2">
          <a:extLst>
            <a:ext uri="{FF2B5EF4-FFF2-40B4-BE49-F238E27FC236}">
              <a16:creationId xmlns:a16="http://schemas.microsoft.com/office/drawing/2014/main" id="{F9F54B25-1EC3-4AE4-86E6-065BE34244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13</xdr:col>
      <xdr:colOff>342899</xdr:colOff>
      <xdr:row>6</xdr:row>
      <xdr:rowOff>42863</xdr:rowOff>
    </xdr:from>
    <xdr:to>
      <xdr:col>13</xdr:col>
      <xdr:colOff>6248400</xdr:colOff>
      <xdr:row>6</xdr:row>
      <xdr:rowOff>933451</xdr:rowOff>
    </xdr:to>
    <xdr:graphicFrame macro="">
      <xdr:nvGraphicFramePr>
        <xdr:cNvPr id="4" name="Gráfico 3">
          <a:extLst>
            <a:ext uri="{FF2B5EF4-FFF2-40B4-BE49-F238E27FC236}">
              <a16:creationId xmlns:a16="http://schemas.microsoft.com/office/drawing/2014/main" id="{37645841-28F4-413C-93E6-7492D79DA7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13</xdr:col>
      <xdr:colOff>342899</xdr:colOff>
      <xdr:row>7</xdr:row>
      <xdr:rowOff>42863</xdr:rowOff>
    </xdr:from>
    <xdr:to>
      <xdr:col>13</xdr:col>
      <xdr:colOff>6248400</xdr:colOff>
      <xdr:row>7</xdr:row>
      <xdr:rowOff>933451</xdr:rowOff>
    </xdr:to>
    <xdr:graphicFrame macro="">
      <xdr:nvGraphicFramePr>
        <xdr:cNvPr id="5" name="Gráfico 4">
          <a:extLst>
            <a:ext uri="{FF2B5EF4-FFF2-40B4-BE49-F238E27FC236}">
              <a16:creationId xmlns:a16="http://schemas.microsoft.com/office/drawing/2014/main" id="{A3EB7999-7E46-4C65-8205-A3B41F2C26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13</xdr:col>
      <xdr:colOff>342899</xdr:colOff>
      <xdr:row>8</xdr:row>
      <xdr:rowOff>42863</xdr:rowOff>
    </xdr:from>
    <xdr:to>
      <xdr:col>13</xdr:col>
      <xdr:colOff>6248400</xdr:colOff>
      <xdr:row>8</xdr:row>
      <xdr:rowOff>933451</xdr:rowOff>
    </xdr:to>
    <xdr:graphicFrame macro="">
      <xdr:nvGraphicFramePr>
        <xdr:cNvPr id="6" name="Gráfico 5">
          <a:extLst>
            <a:ext uri="{FF2B5EF4-FFF2-40B4-BE49-F238E27FC236}">
              <a16:creationId xmlns:a16="http://schemas.microsoft.com/office/drawing/2014/main" id="{4FF9807C-4C62-4747-8972-15D3F457B9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13</xdr:col>
      <xdr:colOff>342899</xdr:colOff>
      <xdr:row>9</xdr:row>
      <xdr:rowOff>42863</xdr:rowOff>
    </xdr:from>
    <xdr:to>
      <xdr:col>13</xdr:col>
      <xdr:colOff>6248400</xdr:colOff>
      <xdr:row>9</xdr:row>
      <xdr:rowOff>933451</xdr:rowOff>
    </xdr:to>
    <xdr:graphicFrame macro="">
      <xdr:nvGraphicFramePr>
        <xdr:cNvPr id="9" name="Gráfico 8">
          <a:extLst>
            <a:ext uri="{FF2B5EF4-FFF2-40B4-BE49-F238E27FC236}">
              <a16:creationId xmlns:a16="http://schemas.microsoft.com/office/drawing/2014/main" id="{A2F367CD-B613-4AD8-9060-7194F6D442C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13</xdr:col>
      <xdr:colOff>380999</xdr:colOff>
      <xdr:row>10</xdr:row>
      <xdr:rowOff>42863</xdr:rowOff>
    </xdr:from>
    <xdr:to>
      <xdr:col>13</xdr:col>
      <xdr:colOff>6286500</xdr:colOff>
      <xdr:row>10</xdr:row>
      <xdr:rowOff>933451</xdr:rowOff>
    </xdr:to>
    <xdr:graphicFrame macro="">
      <xdr:nvGraphicFramePr>
        <xdr:cNvPr id="10" name="Gráfico 9">
          <a:extLst>
            <a:ext uri="{FF2B5EF4-FFF2-40B4-BE49-F238E27FC236}">
              <a16:creationId xmlns:a16="http://schemas.microsoft.com/office/drawing/2014/main" id="{AD04BCE0-6219-4AF4-AAC1-4AFA9BC75B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1333500</xdr:colOff>
      <xdr:row>14</xdr:row>
      <xdr:rowOff>161925</xdr:rowOff>
    </xdr:from>
    <xdr:to>
      <xdr:col>11</xdr:col>
      <xdr:colOff>400051</xdr:colOff>
      <xdr:row>19</xdr:row>
      <xdr:rowOff>100013</xdr:rowOff>
    </xdr:to>
    <xdr:graphicFrame macro="">
      <xdr:nvGraphicFramePr>
        <xdr:cNvPr id="12" name="Gráfico 11">
          <a:extLst>
            <a:ext uri="{FF2B5EF4-FFF2-40B4-BE49-F238E27FC236}">
              <a16:creationId xmlns:a16="http://schemas.microsoft.com/office/drawing/2014/main" id="{D9EE9033-E945-4736-A8D5-99758E6884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13</xdr:col>
      <xdr:colOff>342899</xdr:colOff>
      <xdr:row>5</xdr:row>
      <xdr:rowOff>42863</xdr:rowOff>
    </xdr:from>
    <xdr:to>
      <xdr:col>13</xdr:col>
      <xdr:colOff>6248400</xdr:colOff>
      <xdr:row>5</xdr:row>
      <xdr:rowOff>933451</xdr:rowOff>
    </xdr:to>
    <xdr:graphicFrame macro="">
      <xdr:nvGraphicFramePr>
        <xdr:cNvPr id="8" name="Gráfico 7">
          <a:extLst>
            <a:ext uri="{FF2B5EF4-FFF2-40B4-BE49-F238E27FC236}">
              <a16:creationId xmlns:a16="http://schemas.microsoft.com/office/drawing/2014/main" id="{7E16C19F-7CE8-48E8-9314-3B9F13A6F66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1008530</xdr:colOff>
      <xdr:row>16</xdr:row>
      <xdr:rowOff>176931</xdr:rowOff>
    </xdr:from>
    <xdr:to>
      <xdr:col>7</xdr:col>
      <xdr:colOff>156242</xdr:colOff>
      <xdr:row>28</xdr:row>
      <xdr:rowOff>56029</xdr:rowOff>
    </xdr:to>
    <xdr:graphicFrame macro="">
      <xdr:nvGraphicFramePr>
        <xdr:cNvPr id="3" name="Gráfico 2">
          <a:extLst>
            <a:ext uri="{FF2B5EF4-FFF2-40B4-BE49-F238E27FC236}">
              <a16:creationId xmlns:a16="http://schemas.microsoft.com/office/drawing/2014/main" id="{8A329AED-CEB9-4B24-AB9E-243077E03F0B}"/>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187218</xdr:colOff>
      <xdr:row>16</xdr:row>
      <xdr:rowOff>179933</xdr:rowOff>
    </xdr:from>
    <xdr:to>
      <xdr:col>16</xdr:col>
      <xdr:colOff>300158</xdr:colOff>
      <xdr:row>28</xdr:row>
      <xdr:rowOff>54429</xdr:rowOff>
    </xdr:to>
    <xdr:graphicFrame macro="">
      <xdr:nvGraphicFramePr>
        <xdr:cNvPr id="4" name="Gráfico 3">
          <a:extLst>
            <a:ext uri="{FF2B5EF4-FFF2-40B4-BE49-F238E27FC236}">
              <a16:creationId xmlns:a16="http://schemas.microsoft.com/office/drawing/2014/main" id="{B6367A78-214A-4ED0-9AEE-A8031EF7E40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1176617</xdr:colOff>
      <xdr:row>40</xdr:row>
      <xdr:rowOff>104775</xdr:rowOff>
    </xdr:from>
    <xdr:to>
      <xdr:col>15</xdr:col>
      <xdr:colOff>514349</xdr:colOff>
      <xdr:row>49</xdr:row>
      <xdr:rowOff>78441</xdr:rowOff>
    </xdr:to>
    <xdr:graphicFrame macro="">
      <xdr:nvGraphicFramePr>
        <xdr:cNvPr id="6" name="Gráfico 5">
          <a:extLst>
            <a:ext uri="{FF2B5EF4-FFF2-40B4-BE49-F238E27FC236}">
              <a16:creationId xmlns:a16="http://schemas.microsoft.com/office/drawing/2014/main" id="{7D48311B-014A-49D8-8F36-5640F8EAFE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1704974</xdr:colOff>
      <xdr:row>28</xdr:row>
      <xdr:rowOff>128587</xdr:rowOff>
    </xdr:from>
    <xdr:to>
      <xdr:col>15</xdr:col>
      <xdr:colOff>200024</xdr:colOff>
      <xdr:row>40</xdr:row>
      <xdr:rowOff>19050</xdr:rowOff>
    </xdr:to>
    <xdr:graphicFrame macro="">
      <xdr:nvGraphicFramePr>
        <xdr:cNvPr id="2" name="Gráfico 1">
          <a:extLst>
            <a:ext uri="{FF2B5EF4-FFF2-40B4-BE49-F238E27FC236}">
              <a16:creationId xmlns:a16="http://schemas.microsoft.com/office/drawing/2014/main" id="{36E8C5A8-B1E3-4832-85E5-54F47B92A4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1008530</xdr:colOff>
      <xdr:row>16</xdr:row>
      <xdr:rowOff>176931</xdr:rowOff>
    </xdr:from>
    <xdr:to>
      <xdr:col>7</xdr:col>
      <xdr:colOff>156242</xdr:colOff>
      <xdr:row>28</xdr:row>
      <xdr:rowOff>56029</xdr:rowOff>
    </xdr:to>
    <xdr:graphicFrame macro="">
      <xdr:nvGraphicFramePr>
        <xdr:cNvPr id="7" name="Gráfico 6">
          <a:extLst>
            <a:ext uri="{FF2B5EF4-FFF2-40B4-BE49-F238E27FC236}">
              <a16:creationId xmlns:a16="http://schemas.microsoft.com/office/drawing/2014/main" id="{F5E257A4-95B8-46A3-8F5D-845FEBE06E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xdr:col>
      <xdr:colOff>187218</xdr:colOff>
      <xdr:row>16</xdr:row>
      <xdr:rowOff>179933</xdr:rowOff>
    </xdr:from>
    <xdr:to>
      <xdr:col>16</xdr:col>
      <xdr:colOff>300158</xdr:colOff>
      <xdr:row>28</xdr:row>
      <xdr:rowOff>54429</xdr:rowOff>
    </xdr:to>
    <xdr:graphicFrame macro="">
      <xdr:nvGraphicFramePr>
        <xdr:cNvPr id="8" name="Gráfico 7">
          <a:extLst>
            <a:ext uri="{FF2B5EF4-FFF2-40B4-BE49-F238E27FC236}">
              <a16:creationId xmlns:a16="http://schemas.microsoft.com/office/drawing/2014/main" id="{0D33B5FB-61D2-4DF5-94C3-3AD9DA4022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1176617</xdr:colOff>
      <xdr:row>40</xdr:row>
      <xdr:rowOff>104775</xdr:rowOff>
    </xdr:from>
    <xdr:to>
      <xdr:col>15</xdr:col>
      <xdr:colOff>514349</xdr:colOff>
      <xdr:row>49</xdr:row>
      <xdr:rowOff>78441</xdr:rowOff>
    </xdr:to>
    <xdr:graphicFrame macro="">
      <xdr:nvGraphicFramePr>
        <xdr:cNvPr id="9" name="Gráfico 8">
          <a:extLst>
            <a:ext uri="{FF2B5EF4-FFF2-40B4-BE49-F238E27FC236}">
              <a16:creationId xmlns:a16="http://schemas.microsoft.com/office/drawing/2014/main" id="{6502D363-D44C-48DA-B888-0471617FF0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1704974</xdr:colOff>
      <xdr:row>28</xdr:row>
      <xdr:rowOff>128587</xdr:rowOff>
    </xdr:from>
    <xdr:to>
      <xdr:col>15</xdr:col>
      <xdr:colOff>200024</xdr:colOff>
      <xdr:row>40</xdr:row>
      <xdr:rowOff>19050</xdr:rowOff>
    </xdr:to>
    <xdr:graphicFrame macro="">
      <xdr:nvGraphicFramePr>
        <xdr:cNvPr id="10" name="Gráfico 9">
          <a:extLst>
            <a:ext uri="{FF2B5EF4-FFF2-40B4-BE49-F238E27FC236}">
              <a16:creationId xmlns:a16="http://schemas.microsoft.com/office/drawing/2014/main" id="{C83987AE-134A-493A-B79A-740A524801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7A63D270-8262-4357-84BE-A01696941096}"/>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133350</xdr:rowOff>
    </xdr:from>
    <xdr:to>
      <xdr:col>1</xdr:col>
      <xdr:colOff>866774</xdr:colOff>
      <xdr:row>3</xdr:row>
      <xdr:rowOff>190500</xdr:rowOff>
    </xdr:to>
    <xdr:sp macro="" textlink="">
      <xdr:nvSpPr>
        <xdr:cNvPr id="3" name="Elipse 2">
          <a:extLst>
            <a:ext uri="{FF2B5EF4-FFF2-40B4-BE49-F238E27FC236}">
              <a16:creationId xmlns:a16="http://schemas.microsoft.com/office/drawing/2014/main" id="{D9686B39-6F1D-45B4-9341-90447BB7BC0F}"/>
            </a:ext>
          </a:extLst>
        </xdr:cNvPr>
        <xdr:cNvSpPr/>
      </xdr:nvSpPr>
      <xdr:spPr>
        <a:xfrm>
          <a:off x="438150" y="13335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1288676</xdr:colOff>
      <xdr:row>0</xdr:row>
      <xdr:rowOff>11206</xdr:rowOff>
    </xdr:from>
    <xdr:to>
      <xdr:col>1</xdr:col>
      <xdr:colOff>1288676</xdr:colOff>
      <xdr:row>3</xdr:row>
      <xdr:rowOff>268941</xdr:rowOff>
    </xdr:to>
    <xdr:cxnSp macro="">
      <xdr:nvCxnSpPr>
        <xdr:cNvPr id="5" name="Conector recto 4">
          <a:extLst>
            <a:ext uri="{FF2B5EF4-FFF2-40B4-BE49-F238E27FC236}">
              <a16:creationId xmlns:a16="http://schemas.microsoft.com/office/drawing/2014/main" id="{F347F099-1D24-4E0E-B703-3D4EC8407186}"/>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133350</xdr:rowOff>
    </xdr:from>
    <xdr:to>
      <xdr:col>1</xdr:col>
      <xdr:colOff>866774</xdr:colOff>
      <xdr:row>3</xdr:row>
      <xdr:rowOff>190500</xdr:rowOff>
    </xdr:to>
    <xdr:sp macro="" textlink="">
      <xdr:nvSpPr>
        <xdr:cNvPr id="6" name="Elipse 5">
          <a:extLst>
            <a:ext uri="{FF2B5EF4-FFF2-40B4-BE49-F238E27FC236}">
              <a16:creationId xmlns:a16="http://schemas.microsoft.com/office/drawing/2014/main" id="{919357A2-C107-4439-9554-F6E211D9F42A}"/>
            </a:ext>
          </a:extLst>
        </xdr:cNvPr>
        <xdr:cNvSpPr/>
      </xdr:nvSpPr>
      <xdr:spPr>
        <a:xfrm>
          <a:off x="438150" y="13335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91109</xdr:colOff>
      <xdr:row>69</xdr:row>
      <xdr:rowOff>190501</xdr:rowOff>
    </xdr:from>
    <xdr:to>
      <xdr:col>2</xdr:col>
      <xdr:colOff>78441</xdr:colOff>
      <xdr:row>76</xdr:row>
      <xdr:rowOff>145677</xdr:rowOff>
    </xdr:to>
    <xdr:graphicFrame macro="">
      <xdr:nvGraphicFramePr>
        <xdr:cNvPr id="12" name="Gráfico 11">
          <a:extLst>
            <a:ext uri="{FF2B5EF4-FFF2-40B4-BE49-F238E27FC236}">
              <a16:creationId xmlns:a16="http://schemas.microsoft.com/office/drawing/2014/main" id="{E1F95EF8-B01E-455F-87EF-EA03A16A82F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209550</xdr:colOff>
      <xdr:row>70</xdr:row>
      <xdr:rowOff>0</xdr:rowOff>
    </xdr:from>
    <xdr:to>
      <xdr:col>5</xdr:col>
      <xdr:colOff>473107</xdr:colOff>
      <xdr:row>76</xdr:row>
      <xdr:rowOff>161925</xdr:rowOff>
    </xdr:to>
    <xdr:graphicFrame macro="">
      <xdr:nvGraphicFramePr>
        <xdr:cNvPr id="13" name="Gráfico 12">
          <a:extLst>
            <a:ext uri="{FF2B5EF4-FFF2-40B4-BE49-F238E27FC236}">
              <a16:creationId xmlns:a16="http://schemas.microsoft.com/office/drawing/2014/main" id="{005CC04C-F33E-4163-901F-4727B797DA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6</xdr:col>
      <xdr:colOff>19050</xdr:colOff>
      <xdr:row>70</xdr:row>
      <xdr:rowOff>19050</xdr:rowOff>
    </xdr:from>
    <xdr:to>
      <xdr:col>9</xdr:col>
      <xdr:colOff>282607</xdr:colOff>
      <xdr:row>76</xdr:row>
      <xdr:rowOff>180975</xdr:rowOff>
    </xdr:to>
    <xdr:graphicFrame macro="">
      <xdr:nvGraphicFramePr>
        <xdr:cNvPr id="14" name="Gráfico 13">
          <a:extLst>
            <a:ext uri="{FF2B5EF4-FFF2-40B4-BE49-F238E27FC236}">
              <a16:creationId xmlns:a16="http://schemas.microsoft.com/office/drawing/2014/main" id="{D5512D3E-1A1B-48A5-8CE9-1EEC28B27D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xdr:col>
      <xdr:colOff>390525</xdr:colOff>
      <xdr:row>70</xdr:row>
      <xdr:rowOff>57150</xdr:rowOff>
    </xdr:from>
    <xdr:to>
      <xdr:col>12</xdr:col>
      <xdr:colOff>654082</xdr:colOff>
      <xdr:row>77</xdr:row>
      <xdr:rowOff>9525</xdr:rowOff>
    </xdr:to>
    <xdr:graphicFrame macro="">
      <xdr:nvGraphicFramePr>
        <xdr:cNvPr id="15" name="Gráfico 14">
          <a:extLst>
            <a:ext uri="{FF2B5EF4-FFF2-40B4-BE49-F238E27FC236}">
              <a16:creationId xmlns:a16="http://schemas.microsoft.com/office/drawing/2014/main" id="{960F6D48-4921-4AF2-B26B-F02406440F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47625</xdr:colOff>
      <xdr:row>77</xdr:row>
      <xdr:rowOff>123825</xdr:rowOff>
    </xdr:from>
    <xdr:to>
      <xdr:col>2</xdr:col>
      <xdr:colOff>34957</xdr:colOff>
      <xdr:row>84</xdr:row>
      <xdr:rowOff>76200</xdr:rowOff>
    </xdr:to>
    <xdr:graphicFrame macro="">
      <xdr:nvGraphicFramePr>
        <xdr:cNvPr id="16" name="Gráfico 15">
          <a:extLst>
            <a:ext uri="{FF2B5EF4-FFF2-40B4-BE49-F238E27FC236}">
              <a16:creationId xmlns:a16="http://schemas.microsoft.com/office/drawing/2014/main" id="{0AE242D8-4C81-44E3-AECB-5C8DC97CA2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xdr:col>
      <xdr:colOff>171450</xdr:colOff>
      <xdr:row>77</xdr:row>
      <xdr:rowOff>142875</xdr:rowOff>
    </xdr:from>
    <xdr:to>
      <xdr:col>5</xdr:col>
      <xdr:colOff>435007</xdr:colOff>
      <xdr:row>84</xdr:row>
      <xdr:rowOff>95250</xdr:rowOff>
    </xdr:to>
    <xdr:graphicFrame macro="">
      <xdr:nvGraphicFramePr>
        <xdr:cNvPr id="17" name="Gráfico 16">
          <a:extLst>
            <a:ext uri="{FF2B5EF4-FFF2-40B4-BE49-F238E27FC236}">
              <a16:creationId xmlns:a16="http://schemas.microsoft.com/office/drawing/2014/main" id="{D825579D-F32A-4F67-ACDB-22A8BEDCE7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6</xdr:col>
      <xdr:colOff>9525</xdr:colOff>
      <xdr:row>77</xdr:row>
      <xdr:rowOff>152400</xdr:rowOff>
    </xdr:from>
    <xdr:to>
      <xdr:col>9</xdr:col>
      <xdr:colOff>273082</xdr:colOff>
      <xdr:row>84</xdr:row>
      <xdr:rowOff>104775</xdr:rowOff>
    </xdr:to>
    <xdr:graphicFrame macro="">
      <xdr:nvGraphicFramePr>
        <xdr:cNvPr id="18" name="Gráfico 17">
          <a:extLst>
            <a:ext uri="{FF2B5EF4-FFF2-40B4-BE49-F238E27FC236}">
              <a16:creationId xmlns:a16="http://schemas.microsoft.com/office/drawing/2014/main" id="{FE2D3F07-83EB-49DB-9851-7FE014299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9</xdr:col>
      <xdr:colOff>438150</xdr:colOff>
      <xdr:row>77</xdr:row>
      <xdr:rowOff>190500</xdr:rowOff>
    </xdr:from>
    <xdr:to>
      <xdr:col>13</xdr:col>
      <xdr:colOff>44482</xdr:colOff>
      <xdr:row>84</xdr:row>
      <xdr:rowOff>142875</xdr:rowOff>
    </xdr:to>
    <xdr:graphicFrame macro="">
      <xdr:nvGraphicFramePr>
        <xdr:cNvPr id="19" name="Gráfico 18">
          <a:extLst>
            <a:ext uri="{FF2B5EF4-FFF2-40B4-BE49-F238E27FC236}">
              <a16:creationId xmlns:a16="http://schemas.microsoft.com/office/drawing/2014/main" id="{FE9813AC-6E28-4963-B7EA-AEA418D3B8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xdr:col>
      <xdr:colOff>38100</xdr:colOff>
      <xdr:row>85</xdr:row>
      <xdr:rowOff>85725</xdr:rowOff>
    </xdr:from>
    <xdr:to>
      <xdr:col>2</xdr:col>
      <xdr:colOff>25432</xdr:colOff>
      <xdr:row>92</xdr:row>
      <xdr:rowOff>38100</xdr:rowOff>
    </xdr:to>
    <xdr:graphicFrame macro="">
      <xdr:nvGraphicFramePr>
        <xdr:cNvPr id="20" name="Gráfico 19">
          <a:extLst>
            <a:ext uri="{FF2B5EF4-FFF2-40B4-BE49-F238E27FC236}">
              <a16:creationId xmlns:a16="http://schemas.microsoft.com/office/drawing/2014/main" id="{4B3145EC-44A7-4A58-8981-B1551EDEA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xdr:col>
      <xdr:colOff>171450</xdr:colOff>
      <xdr:row>85</xdr:row>
      <xdr:rowOff>104775</xdr:rowOff>
    </xdr:from>
    <xdr:to>
      <xdr:col>5</xdr:col>
      <xdr:colOff>435007</xdr:colOff>
      <xdr:row>92</xdr:row>
      <xdr:rowOff>57150</xdr:rowOff>
    </xdr:to>
    <xdr:graphicFrame macro="">
      <xdr:nvGraphicFramePr>
        <xdr:cNvPr id="21" name="Gráfico 20">
          <a:extLst>
            <a:ext uri="{FF2B5EF4-FFF2-40B4-BE49-F238E27FC236}">
              <a16:creationId xmlns:a16="http://schemas.microsoft.com/office/drawing/2014/main" id="{DAD5682A-67F8-43CB-96FC-0BA649D298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5</xdr:col>
      <xdr:colOff>638175</xdr:colOff>
      <xdr:row>85</xdr:row>
      <xdr:rowOff>133350</xdr:rowOff>
    </xdr:from>
    <xdr:to>
      <xdr:col>9</xdr:col>
      <xdr:colOff>244507</xdr:colOff>
      <xdr:row>92</xdr:row>
      <xdr:rowOff>85725</xdr:rowOff>
    </xdr:to>
    <xdr:graphicFrame macro="">
      <xdr:nvGraphicFramePr>
        <xdr:cNvPr id="22" name="Gráfico 21">
          <a:extLst>
            <a:ext uri="{FF2B5EF4-FFF2-40B4-BE49-F238E27FC236}">
              <a16:creationId xmlns:a16="http://schemas.microsoft.com/office/drawing/2014/main" id="{D69C3FD1-5C5E-4C47-B828-89A73572FE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9</xdr:col>
      <xdr:colOff>438150</xdr:colOff>
      <xdr:row>85</xdr:row>
      <xdr:rowOff>152400</xdr:rowOff>
    </xdr:from>
    <xdr:to>
      <xdr:col>13</xdr:col>
      <xdr:colOff>44482</xdr:colOff>
      <xdr:row>92</xdr:row>
      <xdr:rowOff>104775</xdr:rowOff>
    </xdr:to>
    <xdr:graphicFrame macro="">
      <xdr:nvGraphicFramePr>
        <xdr:cNvPr id="23" name="Gráfico 22">
          <a:extLst>
            <a:ext uri="{FF2B5EF4-FFF2-40B4-BE49-F238E27FC236}">
              <a16:creationId xmlns:a16="http://schemas.microsoft.com/office/drawing/2014/main" id="{9FD14DD4-7577-49C8-AAA7-35614C663A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1</xdr:col>
      <xdr:colOff>47625</xdr:colOff>
      <xdr:row>93</xdr:row>
      <xdr:rowOff>85725</xdr:rowOff>
    </xdr:from>
    <xdr:to>
      <xdr:col>2</xdr:col>
      <xdr:colOff>34957</xdr:colOff>
      <xdr:row>100</xdr:row>
      <xdr:rowOff>38100</xdr:rowOff>
    </xdr:to>
    <xdr:graphicFrame macro="">
      <xdr:nvGraphicFramePr>
        <xdr:cNvPr id="24" name="Gráfico 23">
          <a:extLst>
            <a:ext uri="{FF2B5EF4-FFF2-40B4-BE49-F238E27FC236}">
              <a16:creationId xmlns:a16="http://schemas.microsoft.com/office/drawing/2014/main" id="{58E19874-6F5F-45F4-A653-2588D9C8644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xdr:col>
      <xdr:colOff>209550</xdr:colOff>
      <xdr:row>93</xdr:row>
      <xdr:rowOff>114300</xdr:rowOff>
    </xdr:from>
    <xdr:to>
      <xdr:col>5</xdr:col>
      <xdr:colOff>473107</xdr:colOff>
      <xdr:row>100</xdr:row>
      <xdr:rowOff>66675</xdr:rowOff>
    </xdr:to>
    <xdr:graphicFrame macro="">
      <xdr:nvGraphicFramePr>
        <xdr:cNvPr id="25" name="Gráfico 24">
          <a:extLst>
            <a:ext uri="{FF2B5EF4-FFF2-40B4-BE49-F238E27FC236}">
              <a16:creationId xmlns:a16="http://schemas.microsoft.com/office/drawing/2014/main" id="{F3931AD6-A4C2-453E-9354-28010865A5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6</xdr:col>
      <xdr:colOff>9525</xdr:colOff>
      <xdr:row>93</xdr:row>
      <xdr:rowOff>142875</xdr:rowOff>
    </xdr:from>
    <xdr:to>
      <xdr:col>9</xdr:col>
      <xdr:colOff>273082</xdr:colOff>
      <xdr:row>100</xdr:row>
      <xdr:rowOff>95250</xdr:rowOff>
    </xdr:to>
    <xdr:graphicFrame macro="">
      <xdr:nvGraphicFramePr>
        <xdr:cNvPr id="26" name="Gráfico 25">
          <a:extLst>
            <a:ext uri="{FF2B5EF4-FFF2-40B4-BE49-F238E27FC236}">
              <a16:creationId xmlns:a16="http://schemas.microsoft.com/office/drawing/2014/main" id="{110A6132-6DBE-46B7-9A68-35157597F67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9</xdr:col>
      <xdr:colOff>390525</xdr:colOff>
      <xdr:row>93</xdr:row>
      <xdr:rowOff>114300</xdr:rowOff>
    </xdr:from>
    <xdr:to>
      <xdr:col>12</xdr:col>
      <xdr:colOff>654082</xdr:colOff>
      <xdr:row>100</xdr:row>
      <xdr:rowOff>66675</xdr:rowOff>
    </xdr:to>
    <xdr:graphicFrame macro="">
      <xdr:nvGraphicFramePr>
        <xdr:cNvPr id="27" name="Gráfico 26">
          <a:extLst>
            <a:ext uri="{FF2B5EF4-FFF2-40B4-BE49-F238E27FC236}">
              <a16:creationId xmlns:a16="http://schemas.microsoft.com/office/drawing/2014/main" id="{6E46CD4B-FE3E-4F49-B0AC-0BAA7C25B5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1</xdr:col>
      <xdr:colOff>1628775</xdr:colOff>
      <xdr:row>21</xdr:row>
      <xdr:rowOff>161925</xdr:rowOff>
    </xdr:from>
    <xdr:to>
      <xdr:col>11</xdr:col>
      <xdr:colOff>161925</xdr:colOff>
      <xdr:row>21</xdr:row>
      <xdr:rowOff>1496786</xdr:rowOff>
    </xdr:to>
    <xdr:graphicFrame macro="">
      <xdr:nvGraphicFramePr>
        <xdr:cNvPr id="32" name="Gráfico 31">
          <a:extLst>
            <a:ext uri="{FF2B5EF4-FFF2-40B4-BE49-F238E27FC236}">
              <a16:creationId xmlns:a16="http://schemas.microsoft.com/office/drawing/2014/main" id="{24DBE5E2-3461-4665-ACF6-2ABC4EEE463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0</xdr:col>
      <xdr:colOff>105655</xdr:colOff>
      <xdr:row>21</xdr:row>
      <xdr:rowOff>1560761</xdr:rowOff>
    </xdr:from>
    <xdr:to>
      <xdr:col>13</xdr:col>
      <xdr:colOff>549374</xdr:colOff>
      <xdr:row>21</xdr:row>
      <xdr:rowOff>4953000</xdr:rowOff>
    </xdr:to>
    <xdr:pic>
      <xdr:nvPicPr>
        <xdr:cNvPr id="7" name="Imagen 6">
          <a:extLst>
            <a:ext uri="{FF2B5EF4-FFF2-40B4-BE49-F238E27FC236}">
              <a16:creationId xmlns:a16="http://schemas.microsoft.com/office/drawing/2014/main" id="{B4840C96-D869-4F1A-8A89-F29BDF9A2F4D}"/>
            </a:ext>
          </a:extLst>
        </xdr:cNvPr>
        <xdr:cNvPicPr>
          <a:picLocks noChangeAspect="1"/>
        </xdr:cNvPicPr>
      </xdr:nvPicPr>
      <xdr:blipFill rotWithShape="1">
        <a:blip xmlns:r="http://schemas.openxmlformats.org/officeDocument/2006/relationships" r:embed="rId19"/>
        <a:srcRect l="3811" t="18896" r="39485" b="49803"/>
        <a:stretch/>
      </xdr:blipFill>
      <xdr:spPr>
        <a:xfrm>
          <a:off x="105655" y="7623143"/>
          <a:ext cx="11100513" cy="3392239"/>
        </a:xfrm>
        <a:prstGeom prst="rect">
          <a:avLst/>
        </a:prstGeom>
      </xdr:spPr>
    </xdr:pic>
    <xdr:clientData/>
  </xdr:twoCellAnchor>
  <xdr:twoCellAnchor editAs="oneCell">
    <xdr:from>
      <xdr:col>0</xdr:col>
      <xdr:colOff>0</xdr:colOff>
      <xdr:row>21</xdr:row>
      <xdr:rowOff>5094688</xdr:rowOff>
    </xdr:from>
    <xdr:to>
      <xdr:col>13</xdr:col>
      <xdr:colOff>467591</xdr:colOff>
      <xdr:row>22</xdr:row>
      <xdr:rowOff>3291472</xdr:rowOff>
    </xdr:to>
    <xdr:pic>
      <xdr:nvPicPr>
        <xdr:cNvPr id="39" name="Imagen 38">
          <a:extLst>
            <a:ext uri="{FF2B5EF4-FFF2-40B4-BE49-F238E27FC236}">
              <a16:creationId xmlns:a16="http://schemas.microsoft.com/office/drawing/2014/main" id="{645F695D-ABF3-4B40-A442-403BA6525B8A}"/>
            </a:ext>
          </a:extLst>
        </xdr:cNvPr>
        <xdr:cNvPicPr>
          <a:picLocks noChangeAspect="1"/>
        </xdr:cNvPicPr>
      </xdr:nvPicPr>
      <xdr:blipFill rotWithShape="1">
        <a:blip xmlns:r="http://schemas.openxmlformats.org/officeDocument/2006/relationships" r:embed="rId19"/>
        <a:srcRect l="4078" t="52293" r="39096" b="16406"/>
        <a:stretch/>
      </xdr:blipFill>
      <xdr:spPr>
        <a:xfrm>
          <a:off x="0" y="11121415"/>
          <a:ext cx="11100955" cy="3392239"/>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094A313B-8848-44A9-8886-B8B49BD2B4F8}"/>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1288676</xdr:colOff>
      <xdr:row>0</xdr:row>
      <xdr:rowOff>11206</xdr:rowOff>
    </xdr:from>
    <xdr:to>
      <xdr:col>1</xdr:col>
      <xdr:colOff>1288676</xdr:colOff>
      <xdr:row>3</xdr:row>
      <xdr:rowOff>268941</xdr:rowOff>
    </xdr:to>
    <xdr:cxnSp macro="">
      <xdr:nvCxnSpPr>
        <xdr:cNvPr id="3" name="Conector recto 2">
          <a:extLst>
            <a:ext uri="{FF2B5EF4-FFF2-40B4-BE49-F238E27FC236}">
              <a16:creationId xmlns:a16="http://schemas.microsoft.com/office/drawing/2014/main" id="{F252158C-C435-4D4E-A203-7B8D2D2FCE22}"/>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1114425</xdr:colOff>
      <xdr:row>24</xdr:row>
      <xdr:rowOff>47625</xdr:rowOff>
    </xdr:from>
    <xdr:to>
      <xdr:col>12</xdr:col>
      <xdr:colOff>104775</xdr:colOff>
      <xdr:row>24</xdr:row>
      <xdr:rowOff>2562225</xdr:rowOff>
    </xdr:to>
    <xdr:graphicFrame macro="">
      <xdr:nvGraphicFramePr>
        <xdr:cNvPr id="4" name="Gráfico 3">
          <a:extLst>
            <a:ext uri="{FF2B5EF4-FFF2-40B4-BE49-F238E27FC236}">
              <a16:creationId xmlns:a16="http://schemas.microsoft.com/office/drawing/2014/main" id="{871C12D7-F286-40CD-A1F1-1B8A40EA062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1114425</xdr:colOff>
      <xdr:row>24</xdr:row>
      <xdr:rowOff>47625</xdr:rowOff>
    </xdr:from>
    <xdr:to>
      <xdr:col>12</xdr:col>
      <xdr:colOff>104775</xdr:colOff>
      <xdr:row>24</xdr:row>
      <xdr:rowOff>2562225</xdr:rowOff>
    </xdr:to>
    <xdr:graphicFrame macro="">
      <xdr:nvGraphicFramePr>
        <xdr:cNvPr id="5" name="Gráfico 4">
          <a:extLst>
            <a:ext uri="{FF2B5EF4-FFF2-40B4-BE49-F238E27FC236}">
              <a16:creationId xmlns:a16="http://schemas.microsoft.com/office/drawing/2014/main" id="{248D3CE6-251C-45E8-A553-06E71C89F82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361950</xdr:colOff>
      <xdr:row>0</xdr:row>
      <xdr:rowOff>142875</xdr:rowOff>
    </xdr:from>
    <xdr:to>
      <xdr:col>1</xdr:col>
      <xdr:colOff>793473</xdr:colOff>
      <xdr:row>3</xdr:row>
      <xdr:rowOff>191328</xdr:rowOff>
    </xdr:to>
    <xdr:sp macro="" textlink="">
      <xdr:nvSpPr>
        <xdr:cNvPr id="6" name="Elipse 5">
          <a:extLst>
            <a:ext uri="{FF2B5EF4-FFF2-40B4-BE49-F238E27FC236}">
              <a16:creationId xmlns:a16="http://schemas.microsoft.com/office/drawing/2014/main" id="{F16A2BD2-7397-48AB-A63C-A7D75938C2FB}"/>
            </a:ext>
          </a:extLst>
        </xdr:cNvPr>
        <xdr:cNvSpPr/>
      </xdr:nvSpPr>
      <xdr:spPr>
        <a:xfrm>
          <a:off x="361950" y="142875"/>
          <a:ext cx="917298" cy="877128"/>
        </a:xfrm>
        <a:prstGeom prst="ellipse">
          <a:avLst/>
        </a:prstGeom>
        <a:blipFill>
          <a:blip xmlns:r="http://schemas.openxmlformats.org/officeDocument/2006/relationships" r:embed="rId3"/>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F83B4269-619C-4F04-A64A-D2943D7FB649}"/>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1288676</xdr:colOff>
      <xdr:row>0</xdr:row>
      <xdr:rowOff>11206</xdr:rowOff>
    </xdr:from>
    <xdr:to>
      <xdr:col>1</xdr:col>
      <xdr:colOff>1288676</xdr:colOff>
      <xdr:row>3</xdr:row>
      <xdr:rowOff>268941</xdr:rowOff>
    </xdr:to>
    <xdr:cxnSp macro="">
      <xdr:nvCxnSpPr>
        <xdr:cNvPr id="3" name="Conector recto 2">
          <a:extLst>
            <a:ext uri="{FF2B5EF4-FFF2-40B4-BE49-F238E27FC236}">
              <a16:creationId xmlns:a16="http://schemas.microsoft.com/office/drawing/2014/main" id="{49088CD8-2FF6-4652-B9DB-5D5C34BCD39E}"/>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1085850</xdr:colOff>
      <xdr:row>24</xdr:row>
      <xdr:rowOff>57150</xdr:rowOff>
    </xdr:from>
    <xdr:to>
      <xdr:col>12</xdr:col>
      <xdr:colOff>76200</xdr:colOff>
      <xdr:row>24</xdr:row>
      <xdr:rowOff>2571750</xdr:rowOff>
    </xdr:to>
    <xdr:graphicFrame macro="">
      <xdr:nvGraphicFramePr>
        <xdr:cNvPr id="4" name="Gráfico 3">
          <a:extLst>
            <a:ext uri="{FF2B5EF4-FFF2-40B4-BE49-F238E27FC236}">
              <a16:creationId xmlns:a16="http://schemas.microsoft.com/office/drawing/2014/main" id="{2604B8E0-70AC-48B3-9FF1-CCD3D18402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425824</xdr:colOff>
      <xdr:row>0</xdr:row>
      <xdr:rowOff>123265</xdr:rowOff>
    </xdr:from>
    <xdr:to>
      <xdr:col>1</xdr:col>
      <xdr:colOff>861269</xdr:colOff>
      <xdr:row>3</xdr:row>
      <xdr:rowOff>159952</xdr:rowOff>
    </xdr:to>
    <xdr:sp macro="" textlink="">
      <xdr:nvSpPr>
        <xdr:cNvPr id="5" name="Elipse 4">
          <a:extLst>
            <a:ext uri="{FF2B5EF4-FFF2-40B4-BE49-F238E27FC236}">
              <a16:creationId xmlns:a16="http://schemas.microsoft.com/office/drawing/2014/main" id="{7321268B-10EA-4AD6-B331-DE3E7334D4C1}"/>
            </a:ext>
          </a:extLst>
        </xdr:cNvPr>
        <xdr:cNvSpPr/>
      </xdr:nvSpPr>
      <xdr:spPr>
        <a:xfrm>
          <a:off x="425824" y="123265"/>
          <a:ext cx="917298" cy="877128"/>
        </a:xfrm>
        <a:prstGeom prst="ellipse">
          <a:avLst/>
        </a:prstGeom>
        <a:blipFill>
          <a:blip xmlns:r="http://schemas.openxmlformats.org/officeDocument/2006/relationships" r:embed="rId2"/>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0E60363E-6930-488A-952B-9CAA84011768}"/>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1990725</xdr:colOff>
      <xdr:row>20</xdr:row>
      <xdr:rowOff>95250</xdr:rowOff>
    </xdr:from>
    <xdr:to>
      <xdr:col>11</xdr:col>
      <xdr:colOff>57150</xdr:colOff>
      <xdr:row>20</xdr:row>
      <xdr:rowOff>1438275</xdr:rowOff>
    </xdr:to>
    <xdr:graphicFrame macro="">
      <xdr:nvGraphicFramePr>
        <xdr:cNvPr id="3" name="Gráfico 2">
          <a:extLst>
            <a:ext uri="{FF2B5EF4-FFF2-40B4-BE49-F238E27FC236}">
              <a16:creationId xmlns:a16="http://schemas.microsoft.com/office/drawing/2014/main" id="{A59AAF28-0F2E-41D7-ACFB-5F99617B6A4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409575</xdr:colOff>
      <xdr:row>0</xdr:row>
      <xdr:rowOff>104775</xdr:rowOff>
    </xdr:from>
    <xdr:to>
      <xdr:col>1</xdr:col>
      <xdr:colOff>838199</xdr:colOff>
      <xdr:row>3</xdr:row>
      <xdr:rowOff>161925</xdr:rowOff>
    </xdr:to>
    <xdr:sp macro="" textlink="">
      <xdr:nvSpPr>
        <xdr:cNvPr id="4" name="Elipse 3">
          <a:extLst>
            <a:ext uri="{FF2B5EF4-FFF2-40B4-BE49-F238E27FC236}">
              <a16:creationId xmlns:a16="http://schemas.microsoft.com/office/drawing/2014/main" id="{CDCABEE4-4E56-45A6-8574-2BDC8BA50A3D}"/>
            </a:ext>
          </a:extLst>
        </xdr:cNvPr>
        <xdr:cNvSpPr/>
      </xdr:nvSpPr>
      <xdr:spPr>
        <a:xfrm>
          <a:off x="409575" y="104775"/>
          <a:ext cx="914399" cy="885825"/>
        </a:xfrm>
        <a:prstGeom prst="ellipse">
          <a:avLst/>
        </a:prstGeom>
        <a:blipFill>
          <a:blip xmlns:r="http://schemas.openxmlformats.org/officeDocument/2006/relationships" r:embed="rId2"/>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4D53CFAD-E09A-4FFC-ABD9-6A247F689505}"/>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85725</xdr:colOff>
      <xdr:row>24</xdr:row>
      <xdr:rowOff>142875</xdr:rowOff>
    </xdr:from>
    <xdr:to>
      <xdr:col>9</xdr:col>
      <xdr:colOff>1000125</xdr:colOff>
      <xdr:row>24</xdr:row>
      <xdr:rowOff>2409825</xdr:rowOff>
    </xdr:to>
    <xdr:graphicFrame macro="">
      <xdr:nvGraphicFramePr>
        <xdr:cNvPr id="3" name="Gráfico 2">
          <a:extLst>
            <a:ext uri="{FF2B5EF4-FFF2-40B4-BE49-F238E27FC236}">
              <a16:creationId xmlns:a16="http://schemas.microsoft.com/office/drawing/2014/main" id="{D877399C-BB20-48FE-A9C4-92F94E66FC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476250</xdr:colOff>
      <xdr:row>0</xdr:row>
      <xdr:rowOff>171450</xdr:rowOff>
    </xdr:from>
    <xdr:to>
      <xdr:col>1</xdr:col>
      <xdr:colOff>907773</xdr:colOff>
      <xdr:row>3</xdr:row>
      <xdr:rowOff>219903</xdr:rowOff>
    </xdr:to>
    <xdr:sp macro="" textlink="">
      <xdr:nvSpPr>
        <xdr:cNvPr id="4" name="Elipse 3">
          <a:extLst>
            <a:ext uri="{FF2B5EF4-FFF2-40B4-BE49-F238E27FC236}">
              <a16:creationId xmlns:a16="http://schemas.microsoft.com/office/drawing/2014/main" id="{2E8B6C48-D29B-446C-A64E-518D5BB6332A}"/>
            </a:ext>
          </a:extLst>
        </xdr:cNvPr>
        <xdr:cNvSpPr/>
      </xdr:nvSpPr>
      <xdr:spPr>
        <a:xfrm>
          <a:off x="476250" y="171450"/>
          <a:ext cx="917298" cy="877128"/>
        </a:xfrm>
        <a:prstGeom prst="ellipse">
          <a:avLst/>
        </a:prstGeom>
        <a:blipFill>
          <a:blip xmlns:r="http://schemas.openxmlformats.org/officeDocument/2006/relationships" r:embed="rId2"/>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A0CE8FC9-38BA-4FAD-B92E-3F381C07D073}"/>
            </a:ext>
          </a:extLst>
        </xdr:cNvPr>
        <xdr:cNvCxnSpPr/>
      </xdr:nvCxnSpPr>
      <xdr:spPr>
        <a:xfrm flipV="1">
          <a:off x="15839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85725</xdr:colOff>
      <xdr:row>24</xdr:row>
      <xdr:rowOff>142875</xdr:rowOff>
    </xdr:from>
    <xdr:to>
      <xdr:col>9</xdr:col>
      <xdr:colOff>1000125</xdr:colOff>
      <xdr:row>24</xdr:row>
      <xdr:rowOff>2409825</xdr:rowOff>
    </xdr:to>
    <xdr:graphicFrame macro="">
      <xdr:nvGraphicFramePr>
        <xdr:cNvPr id="3" name="Gráfico 2">
          <a:extLst>
            <a:ext uri="{FF2B5EF4-FFF2-40B4-BE49-F238E27FC236}">
              <a16:creationId xmlns:a16="http://schemas.microsoft.com/office/drawing/2014/main" id="{6CB6ECCF-F905-425F-93D7-C0B15DC910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34636</xdr:colOff>
      <xdr:row>0</xdr:row>
      <xdr:rowOff>190500</xdr:rowOff>
    </xdr:from>
    <xdr:to>
      <xdr:col>1</xdr:col>
      <xdr:colOff>951934</xdr:colOff>
      <xdr:row>3</xdr:row>
      <xdr:rowOff>236355</xdr:rowOff>
    </xdr:to>
    <xdr:sp macro="" textlink="">
      <xdr:nvSpPr>
        <xdr:cNvPr id="4" name="Elipse 3">
          <a:extLst>
            <a:ext uri="{FF2B5EF4-FFF2-40B4-BE49-F238E27FC236}">
              <a16:creationId xmlns:a16="http://schemas.microsoft.com/office/drawing/2014/main" id="{E578E315-EC33-4A16-8751-46F9E6F629DD}"/>
            </a:ext>
          </a:extLst>
        </xdr:cNvPr>
        <xdr:cNvSpPr/>
      </xdr:nvSpPr>
      <xdr:spPr>
        <a:xfrm>
          <a:off x="329045" y="190500"/>
          <a:ext cx="917298" cy="877128"/>
        </a:xfrm>
        <a:prstGeom prst="ellipse">
          <a:avLst/>
        </a:prstGeom>
        <a:blipFill>
          <a:blip xmlns:r="http://schemas.openxmlformats.org/officeDocument/2006/relationships" r:embed="rId2"/>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B3C331A0-61F2-4C06-A241-FB487008A3FD}"/>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1990725</xdr:colOff>
      <xdr:row>19</xdr:row>
      <xdr:rowOff>95250</xdr:rowOff>
    </xdr:from>
    <xdr:to>
      <xdr:col>11</xdr:col>
      <xdr:colOff>57150</xdr:colOff>
      <xdr:row>19</xdr:row>
      <xdr:rowOff>1438275</xdr:rowOff>
    </xdr:to>
    <xdr:graphicFrame macro="">
      <xdr:nvGraphicFramePr>
        <xdr:cNvPr id="3" name="Gráfico 2">
          <a:extLst>
            <a:ext uri="{FF2B5EF4-FFF2-40B4-BE49-F238E27FC236}">
              <a16:creationId xmlns:a16="http://schemas.microsoft.com/office/drawing/2014/main" id="{91FE63FB-A822-4993-B0E2-4B8B58A129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466725</xdr:colOff>
      <xdr:row>0</xdr:row>
      <xdr:rowOff>123825</xdr:rowOff>
    </xdr:from>
    <xdr:to>
      <xdr:col>1</xdr:col>
      <xdr:colOff>895349</xdr:colOff>
      <xdr:row>3</xdr:row>
      <xdr:rowOff>180975</xdr:rowOff>
    </xdr:to>
    <xdr:sp macro="" textlink="">
      <xdr:nvSpPr>
        <xdr:cNvPr id="4" name="Elipse 3">
          <a:extLst>
            <a:ext uri="{FF2B5EF4-FFF2-40B4-BE49-F238E27FC236}">
              <a16:creationId xmlns:a16="http://schemas.microsoft.com/office/drawing/2014/main" id="{4A15B290-7106-4824-B833-174EBAD5611C}"/>
            </a:ext>
          </a:extLst>
        </xdr:cNvPr>
        <xdr:cNvSpPr/>
      </xdr:nvSpPr>
      <xdr:spPr>
        <a:xfrm>
          <a:off x="466725" y="123825"/>
          <a:ext cx="914399" cy="885825"/>
        </a:xfrm>
        <a:prstGeom prst="ellipse">
          <a:avLst/>
        </a:prstGeom>
        <a:blipFill>
          <a:blip xmlns:r="http://schemas.openxmlformats.org/officeDocument/2006/relationships" r:embed="rId2"/>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14D9A7BE-57EA-4601-8E39-EF4472C98AFE}"/>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409575</xdr:colOff>
      <xdr:row>0</xdr:row>
      <xdr:rowOff>133350</xdr:rowOff>
    </xdr:from>
    <xdr:to>
      <xdr:col>1</xdr:col>
      <xdr:colOff>838199</xdr:colOff>
      <xdr:row>3</xdr:row>
      <xdr:rowOff>190500</xdr:rowOff>
    </xdr:to>
    <xdr:sp macro="" textlink="">
      <xdr:nvSpPr>
        <xdr:cNvPr id="4" name="Elipse 3">
          <a:extLst>
            <a:ext uri="{FF2B5EF4-FFF2-40B4-BE49-F238E27FC236}">
              <a16:creationId xmlns:a16="http://schemas.microsoft.com/office/drawing/2014/main" id="{F925F82C-C24B-48B7-9803-299FCC83A1EF}"/>
            </a:ext>
          </a:extLst>
        </xdr:cNvPr>
        <xdr:cNvSpPr/>
      </xdr:nvSpPr>
      <xdr:spPr>
        <a:xfrm>
          <a:off x="409575" y="13335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1104899</xdr:colOff>
      <xdr:row>23</xdr:row>
      <xdr:rowOff>328611</xdr:rowOff>
    </xdr:from>
    <xdr:to>
      <xdr:col>13</xdr:col>
      <xdr:colOff>19049</xdr:colOff>
      <xdr:row>23</xdr:row>
      <xdr:rowOff>2219324</xdr:rowOff>
    </xdr:to>
    <xdr:graphicFrame macro="">
      <xdr:nvGraphicFramePr>
        <xdr:cNvPr id="7" name="Gráfico 6">
          <a:extLst>
            <a:ext uri="{FF2B5EF4-FFF2-40B4-BE49-F238E27FC236}">
              <a16:creationId xmlns:a16="http://schemas.microsoft.com/office/drawing/2014/main" id="{299C27C3-BF53-483E-B1C8-F70CC7D93B0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17E5B502-BE2B-4B03-B320-058D2B6418C9}"/>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390525</xdr:colOff>
      <xdr:row>0</xdr:row>
      <xdr:rowOff>114300</xdr:rowOff>
    </xdr:from>
    <xdr:to>
      <xdr:col>1</xdr:col>
      <xdr:colOff>813645</xdr:colOff>
      <xdr:row>3</xdr:row>
      <xdr:rowOff>174030</xdr:rowOff>
    </xdr:to>
    <xdr:sp macro="" textlink="">
      <xdr:nvSpPr>
        <xdr:cNvPr id="3" name="Elipse 2">
          <a:extLst>
            <a:ext uri="{FF2B5EF4-FFF2-40B4-BE49-F238E27FC236}">
              <a16:creationId xmlns:a16="http://schemas.microsoft.com/office/drawing/2014/main" id="{68015B7C-7AED-415C-AD62-A9E08F7C3ADA}"/>
            </a:ext>
          </a:extLst>
        </xdr:cNvPr>
        <xdr:cNvSpPr/>
      </xdr:nvSpPr>
      <xdr:spPr>
        <a:xfrm>
          <a:off x="390525" y="114300"/>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1266824</xdr:colOff>
      <xdr:row>21</xdr:row>
      <xdr:rowOff>95249</xdr:rowOff>
    </xdr:from>
    <xdr:to>
      <xdr:col>13</xdr:col>
      <xdr:colOff>400049</xdr:colOff>
      <xdr:row>21</xdr:row>
      <xdr:rowOff>2352674</xdr:rowOff>
    </xdr:to>
    <xdr:graphicFrame macro="">
      <xdr:nvGraphicFramePr>
        <xdr:cNvPr id="4" name="Gráfico 3">
          <a:extLst>
            <a:ext uri="{FF2B5EF4-FFF2-40B4-BE49-F238E27FC236}">
              <a16:creationId xmlns:a16="http://schemas.microsoft.com/office/drawing/2014/main" id="{E27C7844-FA47-4A8D-93B1-CADB50C60DB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D73988A2-C0DA-46C9-8990-6905EA0A73B1}"/>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371476</xdr:colOff>
      <xdr:row>0</xdr:row>
      <xdr:rowOff>114300</xdr:rowOff>
    </xdr:from>
    <xdr:to>
      <xdr:col>1</xdr:col>
      <xdr:colOff>800100</xdr:colOff>
      <xdr:row>3</xdr:row>
      <xdr:rowOff>171450</xdr:rowOff>
    </xdr:to>
    <xdr:sp macro="" textlink="">
      <xdr:nvSpPr>
        <xdr:cNvPr id="4" name="Elipse 3">
          <a:extLst>
            <a:ext uri="{FF2B5EF4-FFF2-40B4-BE49-F238E27FC236}">
              <a16:creationId xmlns:a16="http://schemas.microsoft.com/office/drawing/2014/main" id="{02CE62B3-3DB6-405D-8A04-0661585C3C9F}"/>
            </a:ext>
          </a:extLst>
        </xdr:cNvPr>
        <xdr:cNvSpPr/>
      </xdr:nvSpPr>
      <xdr:spPr>
        <a:xfrm>
          <a:off x="371476" y="11430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723900</xdr:colOff>
      <xdr:row>21</xdr:row>
      <xdr:rowOff>247649</xdr:rowOff>
    </xdr:from>
    <xdr:to>
      <xdr:col>12</xdr:col>
      <xdr:colOff>438150</xdr:colOff>
      <xdr:row>21</xdr:row>
      <xdr:rowOff>2352675</xdr:rowOff>
    </xdr:to>
    <xdr:graphicFrame macro="">
      <xdr:nvGraphicFramePr>
        <xdr:cNvPr id="5" name="Gráfico 4">
          <a:extLst>
            <a:ext uri="{FF2B5EF4-FFF2-40B4-BE49-F238E27FC236}">
              <a16:creationId xmlns:a16="http://schemas.microsoft.com/office/drawing/2014/main" id="{52825ADF-67B3-4BBB-A689-19701391863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1288676</xdr:colOff>
      <xdr:row>0</xdr:row>
      <xdr:rowOff>11206</xdr:rowOff>
    </xdr:from>
    <xdr:to>
      <xdr:col>1</xdr:col>
      <xdr:colOff>1288676</xdr:colOff>
      <xdr:row>3</xdr:row>
      <xdr:rowOff>268941</xdr:rowOff>
    </xdr:to>
    <xdr:cxnSp macro="">
      <xdr:nvCxnSpPr>
        <xdr:cNvPr id="6" name="Conector recto 5">
          <a:extLst>
            <a:ext uri="{FF2B5EF4-FFF2-40B4-BE49-F238E27FC236}">
              <a16:creationId xmlns:a16="http://schemas.microsoft.com/office/drawing/2014/main" id="{C87A46DE-B684-40CD-A561-759E588FC071}"/>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371476</xdr:colOff>
      <xdr:row>0</xdr:row>
      <xdr:rowOff>114300</xdr:rowOff>
    </xdr:from>
    <xdr:to>
      <xdr:col>1</xdr:col>
      <xdr:colOff>800100</xdr:colOff>
      <xdr:row>3</xdr:row>
      <xdr:rowOff>171450</xdr:rowOff>
    </xdr:to>
    <xdr:sp macro="" textlink="">
      <xdr:nvSpPr>
        <xdr:cNvPr id="7" name="Elipse 6">
          <a:extLst>
            <a:ext uri="{FF2B5EF4-FFF2-40B4-BE49-F238E27FC236}">
              <a16:creationId xmlns:a16="http://schemas.microsoft.com/office/drawing/2014/main" id="{424FFFFF-5792-4AB3-9CC6-5AA3ADC31701}"/>
            </a:ext>
          </a:extLst>
        </xdr:cNvPr>
        <xdr:cNvSpPr/>
      </xdr:nvSpPr>
      <xdr:spPr>
        <a:xfrm>
          <a:off x="371476" y="11430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1288676</xdr:colOff>
      <xdr:row>0</xdr:row>
      <xdr:rowOff>11206</xdr:rowOff>
    </xdr:from>
    <xdr:to>
      <xdr:col>1</xdr:col>
      <xdr:colOff>1288676</xdr:colOff>
      <xdr:row>3</xdr:row>
      <xdr:rowOff>268941</xdr:rowOff>
    </xdr:to>
    <xdr:cxnSp macro="">
      <xdr:nvCxnSpPr>
        <xdr:cNvPr id="3" name="Conector recto 2">
          <a:extLst>
            <a:ext uri="{FF2B5EF4-FFF2-40B4-BE49-F238E27FC236}">
              <a16:creationId xmlns:a16="http://schemas.microsoft.com/office/drawing/2014/main" id="{1AEE0E43-FE94-4872-AF4D-7D86884B82C8}"/>
            </a:ext>
          </a:extLst>
        </xdr:cNvPr>
        <xdr:cNvCxnSpPr/>
      </xdr:nvCxnSpPr>
      <xdr:spPr>
        <a:xfrm flipV="1">
          <a:off x="1791596" y="11206"/>
          <a:ext cx="0" cy="10806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371476</xdr:colOff>
      <xdr:row>0</xdr:row>
      <xdr:rowOff>114300</xdr:rowOff>
    </xdr:from>
    <xdr:to>
      <xdr:col>1</xdr:col>
      <xdr:colOff>800100</xdr:colOff>
      <xdr:row>3</xdr:row>
      <xdr:rowOff>171450</xdr:rowOff>
    </xdr:to>
    <xdr:sp macro="" textlink="">
      <xdr:nvSpPr>
        <xdr:cNvPr id="9" name="Elipse 8">
          <a:extLst>
            <a:ext uri="{FF2B5EF4-FFF2-40B4-BE49-F238E27FC236}">
              <a16:creationId xmlns:a16="http://schemas.microsoft.com/office/drawing/2014/main" id="{A083F00C-8DA7-4210-BCCC-1A87B7E16504}"/>
            </a:ext>
          </a:extLst>
        </xdr:cNvPr>
        <xdr:cNvSpPr/>
      </xdr:nvSpPr>
      <xdr:spPr>
        <a:xfrm>
          <a:off x="371476" y="114300"/>
          <a:ext cx="931544" cy="880110"/>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1288676</xdr:colOff>
      <xdr:row>0</xdr:row>
      <xdr:rowOff>11206</xdr:rowOff>
    </xdr:from>
    <xdr:to>
      <xdr:col>1</xdr:col>
      <xdr:colOff>1288676</xdr:colOff>
      <xdr:row>3</xdr:row>
      <xdr:rowOff>268941</xdr:rowOff>
    </xdr:to>
    <xdr:cxnSp macro="">
      <xdr:nvCxnSpPr>
        <xdr:cNvPr id="11" name="Conector recto 10">
          <a:extLst>
            <a:ext uri="{FF2B5EF4-FFF2-40B4-BE49-F238E27FC236}">
              <a16:creationId xmlns:a16="http://schemas.microsoft.com/office/drawing/2014/main" id="{563A3BD9-4889-47C8-8E0C-5D6D92A30889}"/>
            </a:ext>
          </a:extLst>
        </xdr:cNvPr>
        <xdr:cNvCxnSpPr/>
      </xdr:nvCxnSpPr>
      <xdr:spPr>
        <a:xfrm flipV="1">
          <a:off x="1791596" y="11206"/>
          <a:ext cx="0" cy="108069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371476</xdr:colOff>
      <xdr:row>0</xdr:row>
      <xdr:rowOff>114300</xdr:rowOff>
    </xdr:from>
    <xdr:to>
      <xdr:col>1</xdr:col>
      <xdr:colOff>800100</xdr:colOff>
      <xdr:row>3</xdr:row>
      <xdr:rowOff>171450</xdr:rowOff>
    </xdr:to>
    <xdr:sp macro="" textlink="">
      <xdr:nvSpPr>
        <xdr:cNvPr id="12" name="Elipse 11">
          <a:extLst>
            <a:ext uri="{FF2B5EF4-FFF2-40B4-BE49-F238E27FC236}">
              <a16:creationId xmlns:a16="http://schemas.microsoft.com/office/drawing/2014/main" id="{8C0CC9E6-EFE0-458F-887B-B674807CB007}"/>
            </a:ext>
          </a:extLst>
        </xdr:cNvPr>
        <xdr:cNvSpPr/>
      </xdr:nvSpPr>
      <xdr:spPr>
        <a:xfrm>
          <a:off x="371476" y="114300"/>
          <a:ext cx="931544" cy="880110"/>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501BC0E2-2C22-4891-B177-7A0DF7718FB8}"/>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114300</xdr:rowOff>
    </xdr:from>
    <xdr:to>
      <xdr:col>1</xdr:col>
      <xdr:colOff>866774</xdr:colOff>
      <xdr:row>3</xdr:row>
      <xdr:rowOff>171450</xdr:rowOff>
    </xdr:to>
    <xdr:sp macro="" textlink="">
      <xdr:nvSpPr>
        <xdr:cNvPr id="3" name="Elipse 2">
          <a:extLst>
            <a:ext uri="{FF2B5EF4-FFF2-40B4-BE49-F238E27FC236}">
              <a16:creationId xmlns:a16="http://schemas.microsoft.com/office/drawing/2014/main" id="{75C17637-34C6-4608-AEB6-4B83868477AF}"/>
            </a:ext>
          </a:extLst>
        </xdr:cNvPr>
        <xdr:cNvSpPr/>
      </xdr:nvSpPr>
      <xdr:spPr>
        <a:xfrm>
          <a:off x="438150" y="11430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1221683</xdr:colOff>
      <xdr:row>21</xdr:row>
      <xdr:rowOff>61290</xdr:rowOff>
    </xdr:from>
    <xdr:to>
      <xdr:col>13</xdr:col>
      <xdr:colOff>265043</xdr:colOff>
      <xdr:row>22</xdr:row>
      <xdr:rowOff>63499</xdr:rowOff>
    </xdr:to>
    <xdr:graphicFrame macro="">
      <xdr:nvGraphicFramePr>
        <xdr:cNvPr id="4" name="Gráfico 3">
          <a:extLst>
            <a:ext uri="{FF2B5EF4-FFF2-40B4-BE49-F238E27FC236}">
              <a16:creationId xmlns:a16="http://schemas.microsoft.com/office/drawing/2014/main" id="{788D687A-D09F-449E-9E5A-932D2127610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861413CE-F8D3-46DD-826F-934CC96C44D6}"/>
            </a:ext>
          </a:extLst>
        </xdr:cNvPr>
        <xdr:cNvCxnSpPr/>
      </xdr:nvCxnSpPr>
      <xdr:spPr>
        <a:xfrm flipV="1">
          <a:off x="1774451" y="11206"/>
          <a:ext cx="0" cy="829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114300</xdr:rowOff>
    </xdr:from>
    <xdr:to>
      <xdr:col>1</xdr:col>
      <xdr:colOff>866774</xdr:colOff>
      <xdr:row>3</xdr:row>
      <xdr:rowOff>171450</xdr:rowOff>
    </xdr:to>
    <xdr:sp macro="" textlink="">
      <xdr:nvSpPr>
        <xdr:cNvPr id="3" name="Elipse 2">
          <a:extLst>
            <a:ext uri="{FF2B5EF4-FFF2-40B4-BE49-F238E27FC236}">
              <a16:creationId xmlns:a16="http://schemas.microsoft.com/office/drawing/2014/main" id="{549298BE-8D3A-455C-96F3-E48DFEABEACC}"/>
            </a:ext>
          </a:extLst>
        </xdr:cNvPr>
        <xdr:cNvSpPr/>
      </xdr:nvSpPr>
      <xdr:spPr>
        <a:xfrm>
          <a:off x="438150" y="114300"/>
          <a:ext cx="914399" cy="685800"/>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188430</xdr:colOff>
      <xdr:row>23</xdr:row>
      <xdr:rowOff>1677229</xdr:rowOff>
    </xdr:from>
    <xdr:to>
      <xdr:col>13</xdr:col>
      <xdr:colOff>89039</xdr:colOff>
      <xdr:row>23</xdr:row>
      <xdr:rowOff>4000500</xdr:rowOff>
    </xdr:to>
    <xdr:graphicFrame macro="">
      <xdr:nvGraphicFramePr>
        <xdr:cNvPr id="4" name="Gráfico 1">
          <a:extLst>
            <a:ext uri="{FF2B5EF4-FFF2-40B4-BE49-F238E27FC236}">
              <a16:creationId xmlns:a16="http://schemas.microsoft.com/office/drawing/2014/main" id="{5D4C063D-C63F-4C95-9E28-7D49A20CD35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964924</xdr:colOff>
      <xdr:row>23</xdr:row>
      <xdr:rowOff>74543</xdr:rowOff>
    </xdr:from>
    <xdr:to>
      <xdr:col>12</xdr:col>
      <xdr:colOff>140804</xdr:colOff>
      <xdr:row>23</xdr:row>
      <xdr:rowOff>1606826</xdr:rowOff>
    </xdr:to>
    <xdr:graphicFrame macro="">
      <xdr:nvGraphicFramePr>
        <xdr:cNvPr id="5" name="Gráfico 4">
          <a:extLst>
            <a:ext uri="{FF2B5EF4-FFF2-40B4-BE49-F238E27FC236}">
              <a16:creationId xmlns:a16="http://schemas.microsoft.com/office/drawing/2014/main" id="{6FB5E49B-C664-4609-86A8-9EE4D90B41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8CDB227B-8C6B-4CC8-885B-CAAA781FD36A}"/>
            </a:ext>
          </a:extLst>
        </xdr:cNvPr>
        <xdr:cNvCxnSpPr/>
      </xdr:nvCxnSpPr>
      <xdr:spPr>
        <a:xfrm flipV="1">
          <a:off x="2469776"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371475</xdr:colOff>
      <xdr:row>0</xdr:row>
      <xdr:rowOff>95250</xdr:rowOff>
    </xdr:from>
    <xdr:to>
      <xdr:col>1</xdr:col>
      <xdr:colOff>123825</xdr:colOff>
      <xdr:row>3</xdr:row>
      <xdr:rowOff>152400</xdr:rowOff>
    </xdr:to>
    <xdr:sp macro="" textlink="">
      <xdr:nvSpPr>
        <xdr:cNvPr id="3" name="Elipse 2">
          <a:extLst>
            <a:ext uri="{FF2B5EF4-FFF2-40B4-BE49-F238E27FC236}">
              <a16:creationId xmlns:a16="http://schemas.microsoft.com/office/drawing/2014/main" id="{3E23926C-0651-4040-ADCE-8C8FF15A7867}"/>
            </a:ext>
          </a:extLst>
        </xdr:cNvPr>
        <xdr:cNvSpPr/>
      </xdr:nvSpPr>
      <xdr:spPr>
        <a:xfrm>
          <a:off x="371475" y="95250"/>
          <a:ext cx="933450"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1114425</xdr:colOff>
      <xdr:row>21</xdr:row>
      <xdr:rowOff>19049</xdr:rowOff>
    </xdr:from>
    <xdr:to>
      <xdr:col>12</xdr:col>
      <xdr:colOff>266700</xdr:colOff>
      <xdr:row>21</xdr:row>
      <xdr:rowOff>2371724</xdr:rowOff>
    </xdr:to>
    <xdr:graphicFrame macro="">
      <xdr:nvGraphicFramePr>
        <xdr:cNvPr id="7" name="Gráfico 6">
          <a:extLst>
            <a:ext uri="{FF2B5EF4-FFF2-40B4-BE49-F238E27FC236}">
              <a16:creationId xmlns:a16="http://schemas.microsoft.com/office/drawing/2014/main" id="{AE3F4E02-1903-6D47-F5C4-6BED5B73903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7435F793-6746-4061-A757-3ED0BB7F5C0B}"/>
            </a:ext>
          </a:extLst>
        </xdr:cNvPr>
        <xdr:cNvCxnSpPr/>
      </xdr:nvCxnSpPr>
      <xdr:spPr>
        <a:xfrm flipV="1">
          <a:off x="1774451" y="11206"/>
          <a:ext cx="0" cy="82923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114300</xdr:rowOff>
    </xdr:from>
    <xdr:to>
      <xdr:col>1</xdr:col>
      <xdr:colOff>866774</xdr:colOff>
      <xdr:row>3</xdr:row>
      <xdr:rowOff>171450</xdr:rowOff>
    </xdr:to>
    <xdr:sp macro="" textlink="">
      <xdr:nvSpPr>
        <xdr:cNvPr id="4" name="Elipse 3">
          <a:extLst>
            <a:ext uri="{FF2B5EF4-FFF2-40B4-BE49-F238E27FC236}">
              <a16:creationId xmlns:a16="http://schemas.microsoft.com/office/drawing/2014/main" id="{7F33F0B1-70DB-4149-8D38-154C86162C46}"/>
            </a:ext>
          </a:extLst>
        </xdr:cNvPr>
        <xdr:cNvSpPr/>
      </xdr:nvSpPr>
      <xdr:spPr>
        <a:xfrm>
          <a:off x="438150" y="114300"/>
          <a:ext cx="914399" cy="685800"/>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782704</xdr:colOff>
      <xdr:row>23</xdr:row>
      <xdr:rowOff>57978</xdr:rowOff>
    </xdr:from>
    <xdr:to>
      <xdr:col>13</xdr:col>
      <xdr:colOff>33129</xdr:colOff>
      <xdr:row>23</xdr:row>
      <xdr:rowOff>2034208</xdr:rowOff>
    </xdr:to>
    <xdr:graphicFrame macro="">
      <xdr:nvGraphicFramePr>
        <xdr:cNvPr id="9" name="Gráfico 8">
          <a:extLst>
            <a:ext uri="{FF2B5EF4-FFF2-40B4-BE49-F238E27FC236}">
              <a16:creationId xmlns:a16="http://schemas.microsoft.com/office/drawing/2014/main" id="{A8A44128-5D32-485E-9998-D42BD3161A1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1821FEE7-2E84-4548-AB23-B1AC109FC3BA}"/>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457200</xdr:colOff>
      <xdr:row>0</xdr:row>
      <xdr:rowOff>114300</xdr:rowOff>
    </xdr:from>
    <xdr:to>
      <xdr:col>1</xdr:col>
      <xdr:colOff>880320</xdr:colOff>
      <xdr:row>3</xdr:row>
      <xdr:rowOff>174030</xdr:rowOff>
    </xdr:to>
    <xdr:sp macro="" textlink="">
      <xdr:nvSpPr>
        <xdr:cNvPr id="3" name="Elipse 2">
          <a:extLst>
            <a:ext uri="{FF2B5EF4-FFF2-40B4-BE49-F238E27FC236}">
              <a16:creationId xmlns:a16="http://schemas.microsoft.com/office/drawing/2014/main" id="{7E34F298-ECCF-4C1A-A839-8D8D39AECD01}"/>
            </a:ext>
          </a:extLst>
        </xdr:cNvPr>
        <xdr:cNvSpPr/>
      </xdr:nvSpPr>
      <xdr:spPr>
        <a:xfrm>
          <a:off x="457200" y="114300"/>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1581149</xdr:colOff>
      <xdr:row>21</xdr:row>
      <xdr:rowOff>76199</xdr:rowOff>
    </xdr:from>
    <xdr:to>
      <xdr:col>13</xdr:col>
      <xdr:colOff>95250</xdr:colOff>
      <xdr:row>21</xdr:row>
      <xdr:rowOff>2733674</xdr:rowOff>
    </xdr:to>
    <xdr:graphicFrame macro="">
      <xdr:nvGraphicFramePr>
        <xdr:cNvPr id="5" name="Gráfico 4">
          <a:extLst>
            <a:ext uri="{FF2B5EF4-FFF2-40B4-BE49-F238E27FC236}">
              <a16:creationId xmlns:a16="http://schemas.microsoft.com/office/drawing/2014/main" id="{D59255F5-6091-404A-B377-51BDA1BF471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98CB4BA7-11D5-43C3-A256-744918F16656}"/>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457200</xdr:colOff>
      <xdr:row>0</xdr:row>
      <xdr:rowOff>114300</xdr:rowOff>
    </xdr:from>
    <xdr:to>
      <xdr:col>1</xdr:col>
      <xdr:colOff>880320</xdr:colOff>
      <xdr:row>3</xdr:row>
      <xdr:rowOff>174030</xdr:rowOff>
    </xdr:to>
    <xdr:sp macro="" textlink="">
      <xdr:nvSpPr>
        <xdr:cNvPr id="3" name="Elipse 2">
          <a:extLst>
            <a:ext uri="{FF2B5EF4-FFF2-40B4-BE49-F238E27FC236}">
              <a16:creationId xmlns:a16="http://schemas.microsoft.com/office/drawing/2014/main" id="{DD26D620-5CFD-4ADD-9EF7-69A90E04A484}"/>
            </a:ext>
          </a:extLst>
        </xdr:cNvPr>
        <xdr:cNvSpPr/>
      </xdr:nvSpPr>
      <xdr:spPr>
        <a:xfrm>
          <a:off x="457200" y="114300"/>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1219200</xdr:colOff>
      <xdr:row>21</xdr:row>
      <xdr:rowOff>28574</xdr:rowOff>
    </xdr:from>
    <xdr:to>
      <xdr:col>13</xdr:col>
      <xdr:colOff>457200</xdr:colOff>
      <xdr:row>21</xdr:row>
      <xdr:rowOff>2876549</xdr:rowOff>
    </xdr:to>
    <xdr:graphicFrame macro="">
      <xdr:nvGraphicFramePr>
        <xdr:cNvPr id="5" name="Gráfico 4">
          <a:extLst>
            <a:ext uri="{FF2B5EF4-FFF2-40B4-BE49-F238E27FC236}">
              <a16:creationId xmlns:a16="http://schemas.microsoft.com/office/drawing/2014/main" id="{9E9354A4-2FE5-4C5B-A050-D863516BA7E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42EE0705-1A34-4877-A6FD-366B0EBD36F4}"/>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447675</xdr:colOff>
      <xdr:row>0</xdr:row>
      <xdr:rowOff>133350</xdr:rowOff>
    </xdr:from>
    <xdr:to>
      <xdr:col>1</xdr:col>
      <xdr:colOff>870795</xdr:colOff>
      <xdr:row>3</xdr:row>
      <xdr:rowOff>193080</xdr:rowOff>
    </xdr:to>
    <xdr:sp macro="" textlink="">
      <xdr:nvSpPr>
        <xdr:cNvPr id="3" name="Elipse 2">
          <a:extLst>
            <a:ext uri="{FF2B5EF4-FFF2-40B4-BE49-F238E27FC236}">
              <a16:creationId xmlns:a16="http://schemas.microsoft.com/office/drawing/2014/main" id="{83E9C786-7A08-4610-8559-FA42C9FB8CBC}"/>
            </a:ext>
          </a:extLst>
        </xdr:cNvPr>
        <xdr:cNvSpPr/>
      </xdr:nvSpPr>
      <xdr:spPr>
        <a:xfrm>
          <a:off x="447675" y="133350"/>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730251</xdr:colOff>
      <xdr:row>21</xdr:row>
      <xdr:rowOff>34923</xdr:rowOff>
    </xdr:from>
    <xdr:to>
      <xdr:col>13</xdr:col>
      <xdr:colOff>244476</xdr:colOff>
      <xdr:row>21</xdr:row>
      <xdr:rowOff>2444749</xdr:rowOff>
    </xdr:to>
    <xdr:graphicFrame macro="">
      <xdr:nvGraphicFramePr>
        <xdr:cNvPr id="5" name="Gráfico 4">
          <a:extLst>
            <a:ext uri="{FF2B5EF4-FFF2-40B4-BE49-F238E27FC236}">
              <a16:creationId xmlns:a16="http://schemas.microsoft.com/office/drawing/2014/main" id="{0F309BD7-5C40-4C75-84D6-609116BA6A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4CEC65E6-EC4F-4ED2-83E2-10A749A91CA9}"/>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123825</xdr:rowOff>
    </xdr:from>
    <xdr:to>
      <xdr:col>1</xdr:col>
      <xdr:colOff>861270</xdr:colOff>
      <xdr:row>3</xdr:row>
      <xdr:rowOff>183555</xdr:rowOff>
    </xdr:to>
    <xdr:sp macro="" textlink="">
      <xdr:nvSpPr>
        <xdr:cNvPr id="3" name="Elipse 2">
          <a:extLst>
            <a:ext uri="{FF2B5EF4-FFF2-40B4-BE49-F238E27FC236}">
              <a16:creationId xmlns:a16="http://schemas.microsoft.com/office/drawing/2014/main" id="{740288CC-56AB-4E32-8272-EC74EEEE18F3}"/>
            </a:ext>
          </a:extLst>
        </xdr:cNvPr>
        <xdr:cNvSpPr/>
      </xdr:nvSpPr>
      <xdr:spPr>
        <a:xfrm>
          <a:off x="438150" y="123825"/>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1190624</xdr:colOff>
      <xdr:row>20</xdr:row>
      <xdr:rowOff>514349</xdr:rowOff>
    </xdr:from>
    <xdr:to>
      <xdr:col>13</xdr:col>
      <xdr:colOff>476249</xdr:colOff>
      <xdr:row>21</xdr:row>
      <xdr:rowOff>2505075</xdr:rowOff>
    </xdr:to>
    <xdr:graphicFrame macro="">
      <xdr:nvGraphicFramePr>
        <xdr:cNvPr id="5" name="Gráfico 4">
          <a:extLst>
            <a:ext uri="{FF2B5EF4-FFF2-40B4-BE49-F238E27FC236}">
              <a16:creationId xmlns:a16="http://schemas.microsoft.com/office/drawing/2014/main" id="{CBAE088E-BE88-40E9-B733-F00E6513E67C}"/>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6C4A6413-07A9-4C97-BB0C-A710528CD45C}"/>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457200</xdr:colOff>
      <xdr:row>0</xdr:row>
      <xdr:rowOff>114300</xdr:rowOff>
    </xdr:from>
    <xdr:to>
      <xdr:col>1</xdr:col>
      <xdr:colOff>880320</xdr:colOff>
      <xdr:row>3</xdr:row>
      <xdr:rowOff>174030</xdr:rowOff>
    </xdr:to>
    <xdr:sp macro="" textlink="">
      <xdr:nvSpPr>
        <xdr:cNvPr id="3" name="Elipse 2">
          <a:extLst>
            <a:ext uri="{FF2B5EF4-FFF2-40B4-BE49-F238E27FC236}">
              <a16:creationId xmlns:a16="http://schemas.microsoft.com/office/drawing/2014/main" id="{0FBB3645-7854-46C2-A502-9CEA042BDAE1}"/>
            </a:ext>
          </a:extLst>
        </xdr:cNvPr>
        <xdr:cNvSpPr/>
      </xdr:nvSpPr>
      <xdr:spPr>
        <a:xfrm>
          <a:off x="457200" y="114300"/>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1314449</xdr:colOff>
      <xdr:row>21</xdr:row>
      <xdr:rowOff>38100</xdr:rowOff>
    </xdr:from>
    <xdr:to>
      <xdr:col>12</xdr:col>
      <xdr:colOff>419099</xdr:colOff>
      <xdr:row>21</xdr:row>
      <xdr:rowOff>1852612</xdr:rowOff>
    </xdr:to>
    <xdr:graphicFrame macro="">
      <xdr:nvGraphicFramePr>
        <xdr:cNvPr id="4" name="Gráfico 3">
          <a:extLst>
            <a:ext uri="{FF2B5EF4-FFF2-40B4-BE49-F238E27FC236}">
              <a16:creationId xmlns:a16="http://schemas.microsoft.com/office/drawing/2014/main" id="{C0EBC83E-C47D-4981-8024-50A8826C38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9.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23078217-B332-4F67-8EC9-1D903D60F6B3}"/>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476250</xdr:colOff>
      <xdr:row>0</xdr:row>
      <xdr:rowOff>152400</xdr:rowOff>
    </xdr:from>
    <xdr:to>
      <xdr:col>1</xdr:col>
      <xdr:colOff>880320</xdr:colOff>
      <xdr:row>3</xdr:row>
      <xdr:rowOff>174030</xdr:rowOff>
    </xdr:to>
    <xdr:sp macro="" textlink="">
      <xdr:nvSpPr>
        <xdr:cNvPr id="3" name="Elipse 2">
          <a:extLst>
            <a:ext uri="{FF2B5EF4-FFF2-40B4-BE49-F238E27FC236}">
              <a16:creationId xmlns:a16="http://schemas.microsoft.com/office/drawing/2014/main" id="{4AE09F53-A0A2-40E9-AE32-6B6540463360}"/>
            </a:ext>
          </a:extLst>
        </xdr:cNvPr>
        <xdr:cNvSpPr/>
      </xdr:nvSpPr>
      <xdr:spPr>
        <a:xfrm>
          <a:off x="476250" y="152400"/>
          <a:ext cx="889845" cy="8503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1257299</xdr:colOff>
      <xdr:row>21</xdr:row>
      <xdr:rowOff>66674</xdr:rowOff>
    </xdr:from>
    <xdr:to>
      <xdr:col>12</xdr:col>
      <xdr:colOff>361949</xdr:colOff>
      <xdr:row>21</xdr:row>
      <xdr:rowOff>2552699</xdr:rowOff>
    </xdr:to>
    <xdr:graphicFrame macro="">
      <xdr:nvGraphicFramePr>
        <xdr:cNvPr id="4" name="Gráfico 3">
          <a:extLst>
            <a:ext uri="{FF2B5EF4-FFF2-40B4-BE49-F238E27FC236}">
              <a16:creationId xmlns:a16="http://schemas.microsoft.com/office/drawing/2014/main" id="{328BC764-A863-4C20-925E-E7EF290E88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8AB0E57A-676E-4ED7-B237-A95FD1E6C2FD}"/>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371475</xdr:colOff>
      <xdr:row>0</xdr:row>
      <xdr:rowOff>104775</xdr:rowOff>
    </xdr:from>
    <xdr:to>
      <xdr:col>1</xdr:col>
      <xdr:colOff>800099</xdr:colOff>
      <xdr:row>3</xdr:row>
      <xdr:rowOff>161925</xdr:rowOff>
    </xdr:to>
    <xdr:sp macro="" textlink="">
      <xdr:nvSpPr>
        <xdr:cNvPr id="4" name="Elipse 3">
          <a:extLst>
            <a:ext uri="{FF2B5EF4-FFF2-40B4-BE49-F238E27FC236}">
              <a16:creationId xmlns:a16="http://schemas.microsoft.com/office/drawing/2014/main" id="{C88D7ECE-FE04-47E7-9CFA-75F6C1DAC3F8}"/>
            </a:ext>
          </a:extLst>
        </xdr:cNvPr>
        <xdr:cNvSpPr/>
      </xdr:nvSpPr>
      <xdr:spPr>
        <a:xfrm>
          <a:off x="371475" y="10477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1390651</xdr:colOff>
      <xdr:row>21</xdr:row>
      <xdr:rowOff>66674</xdr:rowOff>
    </xdr:from>
    <xdr:to>
      <xdr:col>13</xdr:col>
      <xdr:colOff>314325</xdr:colOff>
      <xdr:row>21</xdr:row>
      <xdr:rowOff>2133600</xdr:rowOff>
    </xdr:to>
    <xdr:graphicFrame macro="">
      <xdr:nvGraphicFramePr>
        <xdr:cNvPr id="5" name="Gráfico 4">
          <a:extLst>
            <a:ext uri="{FF2B5EF4-FFF2-40B4-BE49-F238E27FC236}">
              <a16:creationId xmlns:a16="http://schemas.microsoft.com/office/drawing/2014/main" id="{39C39D1B-AD90-4294-8677-E5B072E5927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1288676</xdr:colOff>
      <xdr:row>0</xdr:row>
      <xdr:rowOff>11206</xdr:rowOff>
    </xdr:from>
    <xdr:to>
      <xdr:col>1</xdr:col>
      <xdr:colOff>1288676</xdr:colOff>
      <xdr:row>3</xdr:row>
      <xdr:rowOff>268941</xdr:rowOff>
    </xdr:to>
    <xdr:cxnSp macro="">
      <xdr:nvCxnSpPr>
        <xdr:cNvPr id="6" name="Conector recto 5">
          <a:extLst>
            <a:ext uri="{FF2B5EF4-FFF2-40B4-BE49-F238E27FC236}">
              <a16:creationId xmlns:a16="http://schemas.microsoft.com/office/drawing/2014/main" id="{9C4DA9EF-A15C-41AA-A616-2B1BDBFC333E}"/>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371475</xdr:colOff>
      <xdr:row>0</xdr:row>
      <xdr:rowOff>104775</xdr:rowOff>
    </xdr:from>
    <xdr:to>
      <xdr:col>1</xdr:col>
      <xdr:colOff>800099</xdr:colOff>
      <xdr:row>3</xdr:row>
      <xdr:rowOff>161925</xdr:rowOff>
    </xdr:to>
    <xdr:sp macro="" textlink="">
      <xdr:nvSpPr>
        <xdr:cNvPr id="7" name="Elipse 6">
          <a:extLst>
            <a:ext uri="{FF2B5EF4-FFF2-40B4-BE49-F238E27FC236}">
              <a16:creationId xmlns:a16="http://schemas.microsoft.com/office/drawing/2014/main" id="{286C7EC2-6C83-4DA1-B6B3-49E906AD0A26}"/>
            </a:ext>
          </a:extLst>
        </xdr:cNvPr>
        <xdr:cNvSpPr/>
      </xdr:nvSpPr>
      <xdr:spPr>
        <a:xfrm>
          <a:off x="371475" y="10477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1390651</xdr:colOff>
      <xdr:row>21</xdr:row>
      <xdr:rowOff>66674</xdr:rowOff>
    </xdr:from>
    <xdr:to>
      <xdr:col>13</xdr:col>
      <xdr:colOff>314325</xdr:colOff>
      <xdr:row>21</xdr:row>
      <xdr:rowOff>2133600</xdr:rowOff>
    </xdr:to>
    <xdr:graphicFrame macro="">
      <xdr:nvGraphicFramePr>
        <xdr:cNvPr id="8" name="Gráfico 7">
          <a:extLst>
            <a:ext uri="{FF2B5EF4-FFF2-40B4-BE49-F238E27FC236}">
              <a16:creationId xmlns:a16="http://schemas.microsoft.com/office/drawing/2014/main" id="{61CE6A36-1757-4420-93D4-D6699454AB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0.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B0881509-A712-4724-9F8D-5EC7943C30A2}"/>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409575</xdr:colOff>
      <xdr:row>0</xdr:row>
      <xdr:rowOff>104775</xdr:rowOff>
    </xdr:from>
    <xdr:to>
      <xdr:col>1</xdr:col>
      <xdr:colOff>832695</xdr:colOff>
      <xdr:row>3</xdr:row>
      <xdr:rowOff>164505</xdr:rowOff>
    </xdr:to>
    <xdr:sp macro="" textlink="">
      <xdr:nvSpPr>
        <xdr:cNvPr id="3" name="Elipse 2">
          <a:extLst>
            <a:ext uri="{FF2B5EF4-FFF2-40B4-BE49-F238E27FC236}">
              <a16:creationId xmlns:a16="http://schemas.microsoft.com/office/drawing/2014/main" id="{C54C93D7-C189-4717-BF80-FCF370F08BBE}"/>
            </a:ext>
          </a:extLst>
        </xdr:cNvPr>
        <xdr:cNvSpPr/>
      </xdr:nvSpPr>
      <xdr:spPr>
        <a:xfrm>
          <a:off x="409575" y="104775"/>
          <a:ext cx="908895" cy="88840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771526</xdr:colOff>
      <xdr:row>21</xdr:row>
      <xdr:rowOff>219075</xdr:rowOff>
    </xdr:from>
    <xdr:to>
      <xdr:col>13</xdr:col>
      <xdr:colOff>85726</xdr:colOff>
      <xdr:row>21</xdr:row>
      <xdr:rowOff>1781175</xdr:rowOff>
    </xdr:to>
    <xdr:graphicFrame macro="">
      <xdr:nvGraphicFramePr>
        <xdr:cNvPr id="5" name="Gráfico 4">
          <a:extLst>
            <a:ext uri="{FF2B5EF4-FFF2-40B4-BE49-F238E27FC236}">
              <a16:creationId xmlns:a16="http://schemas.microsoft.com/office/drawing/2014/main" id="{0132C498-E210-4AC5-B9E5-1A84FFE85A2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1.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5DE57CB8-7502-4C45-B987-5D4F25A18346}"/>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1990725</xdr:colOff>
      <xdr:row>20</xdr:row>
      <xdr:rowOff>95250</xdr:rowOff>
    </xdr:from>
    <xdr:to>
      <xdr:col>11</xdr:col>
      <xdr:colOff>57150</xdr:colOff>
      <xdr:row>20</xdr:row>
      <xdr:rowOff>1438275</xdr:rowOff>
    </xdr:to>
    <xdr:graphicFrame macro="">
      <xdr:nvGraphicFramePr>
        <xdr:cNvPr id="3" name="Gráfico 2">
          <a:extLst>
            <a:ext uri="{FF2B5EF4-FFF2-40B4-BE49-F238E27FC236}">
              <a16:creationId xmlns:a16="http://schemas.microsoft.com/office/drawing/2014/main" id="{CD5F5726-A35C-4732-B798-DA9E49A0AF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401A355B-5032-4861-937A-B6ECB4BB9B69}"/>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381000</xdr:colOff>
      <xdr:row>0</xdr:row>
      <xdr:rowOff>104775</xdr:rowOff>
    </xdr:from>
    <xdr:to>
      <xdr:col>1</xdr:col>
      <xdr:colOff>809624</xdr:colOff>
      <xdr:row>3</xdr:row>
      <xdr:rowOff>161925</xdr:rowOff>
    </xdr:to>
    <xdr:sp macro="" textlink="">
      <xdr:nvSpPr>
        <xdr:cNvPr id="4" name="Elipse 3">
          <a:extLst>
            <a:ext uri="{FF2B5EF4-FFF2-40B4-BE49-F238E27FC236}">
              <a16:creationId xmlns:a16="http://schemas.microsoft.com/office/drawing/2014/main" id="{32B4AF48-155D-4EC5-B30A-D625384E83F9}"/>
            </a:ext>
          </a:extLst>
        </xdr:cNvPr>
        <xdr:cNvSpPr/>
      </xdr:nvSpPr>
      <xdr:spPr>
        <a:xfrm>
          <a:off x="381000" y="10477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1181100</xdr:colOff>
      <xdr:row>22</xdr:row>
      <xdr:rowOff>142874</xdr:rowOff>
    </xdr:from>
    <xdr:to>
      <xdr:col>13</xdr:col>
      <xdr:colOff>142874</xdr:colOff>
      <xdr:row>23</xdr:row>
      <xdr:rowOff>57149</xdr:rowOff>
    </xdr:to>
    <xdr:graphicFrame macro="">
      <xdr:nvGraphicFramePr>
        <xdr:cNvPr id="5" name="Gráfico 4">
          <a:extLst>
            <a:ext uri="{FF2B5EF4-FFF2-40B4-BE49-F238E27FC236}">
              <a16:creationId xmlns:a16="http://schemas.microsoft.com/office/drawing/2014/main" id="{DAAC3EE3-9F52-4FA1-8DAE-A6D598B11CE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1288676</xdr:colOff>
      <xdr:row>0</xdr:row>
      <xdr:rowOff>11206</xdr:rowOff>
    </xdr:from>
    <xdr:to>
      <xdr:col>1</xdr:col>
      <xdr:colOff>1288676</xdr:colOff>
      <xdr:row>3</xdr:row>
      <xdr:rowOff>268941</xdr:rowOff>
    </xdr:to>
    <xdr:cxnSp macro="">
      <xdr:nvCxnSpPr>
        <xdr:cNvPr id="6" name="Conector recto 5">
          <a:extLst>
            <a:ext uri="{FF2B5EF4-FFF2-40B4-BE49-F238E27FC236}">
              <a16:creationId xmlns:a16="http://schemas.microsoft.com/office/drawing/2014/main" id="{D53AFB07-D684-4CCC-A251-F61848E094E4}"/>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381000</xdr:colOff>
      <xdr:row>0</xdr:row>
      <xdr:rowOff>104775</xdr:rowOff>
    </xdr:from>
    <xdr:to>
      <xdr:col>1</xdr:col>
      <xdr:colOff>809624</xdr:colOff>
      <xdr:row>3</xdr:row>
      <xdr:rowOff>161925</xdr:rowOff>
    </xdr:to>
    <xdr:sp macro="" textlink="">
      <xdr:nvSpPr>
        <xdr:cNvPr id="7" name="Elipse 6">
          <a:extLst>
            <a:ext uri="{FF2B5EF4-FFF2-40B4-BE49-F238E27FC236}">
              <a16:creationId xmlns:a16="http://schemas.microsoft.com/office/drawing/2014/main" id="{F97AB775-5679-4215-A15C-22379DAC29C9}"/>
            </a:ext>
          </a:extLst>
        </xdr:cNvPr>
        <xdr:cNvSpPr/>
      </xdr:nvSpPr>
      <xdr:spPr>
        <a:xfrm>
          <a:off x="381000" y="10477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1181100</xdr:colOff>
      <xdr:row>22</xdr:row>
      <xdr:rowOff>142874</xdr:rowOff>
    </xdr:from>
    <xdr:to>
      <xdr:col>13</xdr:col>
      <xdr:colOff>142874</xdr:colOff>
      <xdr:row>23</xdr:row>
      <xdr:rowOff>57149</xdr:rowOff>
    </xdr:to>
    <xdr:graphicFrame macro="">
      <xdr:nvGraphicFramePr>
        <xdr:cNvPr id="8" name="Gráfico 7">
          <a:extLst>
            <a:ext uri="{FF2B5EF4-FFF2-40B4-BE49-F238E27FC236}">
              <a16:creationId xmlns:a16="http://schemas.microsoft.com/office/drawing/2014/main" id="{D91DC2AE-AD63-4426-99AD-80FC5D08B9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725D5370-B7A8-4041-A52F-C4E0F4C48EAE}"/>
            </a:ext>
          </a:extLst>
        </xdr:cNvPr>
        <xdr:cNvCxnSpPr/>
      </xdr:nvCxnSpPr>
      <xdr:spPr>
        <a:xfrm flipV="1">
          <a:off x="1803026" y="11206"/>
          <a:ext cx="0" cy="107688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409575</xdr:colOff>
      <xdr:row>0</xdr:row>
      <xdr:rowOff>123825</xdr:rowOff>
    </xdr:from>
    <xdr:to>
      <xdr:col>1</xdr:col>
      <xdr:colOff>838199</xdr:colOff>
      <xdr:row>3</xdr:row>
      <xdr:rowOff>180975</xdr:rowOff>
    </xdr:to>
    <xdr:sp macro="" textlink="">
      <xdr:nvSpPr>
        <xdr:cNvPr id="3" name="Elipse 2">
          <a:extLst>
            <a:ext uri="{FF2B5EF4-FFF2-40B4-BE49-F238E27FC236}">
              <a16:creationId xmlns:a16="http://schemas.microsoft.com/office/drawing/2014/main" id="{DEB9B85F-EE8A-48E8-8196-A28D2DFF1AD5}"/>
            </a:ext>
          </a:extLst>
        </xdr:cNvPr>
        <xdr:cNvSpPr/>
      </xdr:nvSpPr>
      <xdr:spPr>
        <a:xfrm>
          <a:off x="409575" y="123825"/>
          <a:ext cx="942974" cy="876300"/>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1054100</xdr:colOff>
      <xdr:row>22</xdr:row>
      <xdr:rowOff>146050</xdr:rowOff>
    </xdr:from>
    <xdr:to>
      <xdr:col>13</xdr:col>
      <xdr:colOff>287192</xdr:colOff>
      <xdr:row>22</xdr:row>
      <xdr:rowOff>2346325</xdr:rowOff>
    </xdr:to>
    <xdr:graphicFrame macro="">
      <xdr:nvGraphicFramePr>
        <xdr:cNvPr id="6" name="Gráfico 5">
          <a:extLst>
            <a:ext uri="{FF2B5EF4-FFF2-40B4-BE49-F238E27FC236}">
              <a16:creationId xmlns:a16="http://schemas.microsoft.com/office/drawing/2014/main" id="{BD659712-2B91-49CF-90CE-3552461887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16300C44-B6E1-4A77-B738-0528BCE32A34}"/>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409575</xdr:colOff>
      <xdr:row>0</xdr:row>
      <xdr:rowOff>123825</xdr:rowOff>
    </xdr:from>
    <xdr:to>
      <xdr:col>1</xdr:col>
      <xdr:colOff>838199</xdr:colOff>
      <xdr:row>3</xdr:row>
      <xdr:rowOff>180975</xdr:rowOff>
    </xdr:to>
    <xdr:sp macro="" textlink="">
      <xdr:nvSpPr>
        <xdr:cNvPr id="4" name="Elipse 3">
          <a:extLst>
            <a:ext uri="{FF2B5EF4-FFF2-40B4-BE49-F238E27FC236}">
              <a16:creationId xmlns:a16="http://schemas.microsoft.com/office/drawing/2014/main" id="{D432629D-FE0C-4951-9EDC-E2DFB0FF90A0}"/>
            </a:ext>
          </a:extLst>
        </xdr:cNvPr>
        <xdr:cNvSpPr/>
      </xdr:nvSpPr>
      <xdr:spPr>
        <a:xfrm>
          <a:off x="409575" y="12382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1114425</xdr:colOff>
      <xdr:row>22</xdr:row>
      <xdr:rowOff>123824</xdr:rowOff>
    </xdr:from>
    <xdr:to>
      <xdr:col>13</xdr:col>
      <xdr:colOff>342899</xdr:colOff>
      <xdr:row>22</xdr:row>
      <xdr:rowOff>2324099</xdr:rowOff>
    </xdr:to>
    <xdr:graphicFrame macro="">
      <xdr:nvGraphicFramePr>
        <xdr:cNvPr id="5" name="Gráfico 4">
          <a:extLst>
            <a:ext uri="{FF2B5EF4-FFF2-40B4-BE49-F238E27FC236}">
              <a16:creationId xmlns:a16="http://schemas.microsoft.com/office/drawing/2014/main" id="{04676D65-BBC3-4BB5-802F-DA81407CB6F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31599F63-D25A-4A32-A6F8-8FBB9B1F31BE}"/>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400050</xdr:colOff>
      <xdr:row>0</xdr:row>
      <xdr:rowOff>104775</xdr:rowOff>
    </xdr:from>
    <xdr:to>
      <xdr:col>1</xdr:col>
      <xdr:colOff>828674</xdr:colOff>
      <xdr:row>3</xdr:row>
      <xdr:rowOff>161925</xdr:rowOff>
    </xdr:to>
    <xdr:sp macro="" textlink="">
      <xdr:nvSpPr>
        <xdr:cNvPr id="4" name="Elipse 3">
          <a:extLst>
            <a:ext uri="{FF2B5EF4-FFF2-40B4-BE49-F238E27FC236}">
              <a16:creationId xmlns:a16="http://schemas.microsoft.com/office/drawing/2014/main" id="{BC4EA36E-C595-4C03-BD12-CC1B9AA02958}"/>
            </a:ext>
          </a:extLst>
        </xdr:cNvPr>
        <xdr:cNvSpPr/>
      </xdr:nvSpPr>
      <xdr:spPr>
        <a:xfrm>
          <a:off x="400050" y="104775"/>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1123949</xdr:colOff>
      <xdr:row>22</xdr:row>
      <xdr:rowOff>71437</xdr:rowOff>
    </xdr:from>
    <xdr:to>
      <xdr:col>13</xdr:col>
      <xdr:colOff>219074</xdr:colOff>
      <xdr:row>22</xdr:row>
      <xdr:rowOff>2600325</xdr:rowOff>
    </xdr:to>
    <xdr:graphicFrame macro="">
      <xdr:nvGraphicFramePr>
        <xdr:cNvPr id="3" name="Gráfico 2">
          <a:extLst>
            <a:ext uri="{FF2B5EF4-FFF2-40B4-BE49-F238E27FC236}">
              <a16:creationId xmlns:a16="http://schemas.microsoft.com/office/drawing/2014/main" id="{3D4F0BB5-2C46-4CDC-B2D0-2E4A5B5450F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absolute">
    <xdr:from>
      <xdr:col>9</xdr:col>
      <xdr:colOff>639943</xdr:colOff>
      <xdr:row>85</xdr:row>
      <xdr:rowOff>673816</xdr:rowOff>
    </xdr:from>
    <xdr:to>
      <xdr:col>19</xdr:col>
      <xdr:colOff>508500</xdr:colOff>
      <xdr:row>87</xdr:row>
      <xdr:rowOff>1264969</xdr:rowOff>
    </xdr:to>
    <xdr:pic>
      <xdr:nvPicPr>
        <xdr:cNvPr id="2" name="Imagen 1">
          <a:extLst>
            <a:ext uri="{FF2B5EF4-FFF2-40B4-BE49-F238E27FC236}">
              <a16:creationId xmlns:a16="http://schemas.microsoft.com/office/drawing/2014/main" id="{CA4FEFBB-ED26-4C4D-B410-E6CEC3F44ED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11057" y="19930645"/>
          <a:ext cx="6846300" cy="369358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1</xdr:col>
      <xdr:colOff>1288676</xdr:colOff>
      <xdr:row>0</xdr:row>
      <xdr:rowOff>11206</xdr:rowOff>
    </xdr:from>
    <xdr:to>
      <xdr:col>1</xdr:col>
      <xdr:colOff>1288676</xdr:colOff>
      <xdr:row>3</xdr:row>
      <xdr:rowOff>268941</xdr:rowOff>
    </xdr:to>
    <xdr:cxnSp macro="">
      <xdr:nvCxnSpPr>
        <xdr:cNvPr id="2" name="Conector recto 1">
          <a:extLst>
            <a:ext uri="{FF2B5EF4-FFF2-40B4-BE49-F238E27FC236}">
              <a16:creationId xmlns:a16="http://schemas.microsoft.com/office/drawing/2014/main" id="{F2AC2A76-C41A-45DA-B72B-34B770C00D82}"/>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133350</xdr:rowOff>
    </xdr:from>
    <xdr:to>
      <xdr:col>1</xdr:col>
      <xdr:colOff>866774</xdr:colOff>
      <xdr:row>3</xdr:row>
      <xdr:rowOff>190500</xdr:rowOff>
    </xdr:to>
    <xdr:sp macro="" textlink="">
      <xdr:nvSpPr>
        <xdr:cNvPr id="4" name="Elipse 3">
          <a:extLst>
            <a:ext uri="{FF2B5EF4-FFF2-40B4-BE49-F238E27FC236}">
              <a16:creationId xmlns:a16="http://schemas.microsoft.com/office/drawing/2014/main" id="{3797C120-3A0D-4B0A-8062-71FB46158521}"/>
            </a:ext>
          </a:extLst>
        </xdr:cNvPr>
        <xdr:cNvSpPr/>
      </xdr:nvSpPr>
      <xdr:spPr>
        <a:xfrm>
          <a:off x="438150" y="13335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1114424</xdr:colOff>
      <xdr:row>21</xdr:row>
      <xdr:rowOff>133350</xdr:rowOff>
    </xdr:from>
    <xdr:to>
      <xdr:col>13</xdr:col>
      <xdr:colOff>304799</xdr:colOff>
      <xdr:row>21</xdr:row>
      <xdr:rowOff>1938337</xdr:rowOff>
    </xdr:to>
    <xdr:graphicFrame macro="">
      <xdr:nvGraphicFramePr>
        <xdr:cNvPr id="5" name="Gráfico 4">
          <a:extLst>
            <a:ext uri="{FF2B5EF4-FFF2-40B4-BE49-F238E27FC236}">
              <a16:creationId xmlns:a16="http://schemas.microsoft.com/office/drawing/2014/main" id="{01A0C371-6963-4C46-86CB-0EA22E844F5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1288676</xdr:colOff>
      <xdr:row>0</xdr:row>
      <xdr:rowOff>11206</xdr:rowOff>
    </xdr:from>
    <xdr:to>
      <xdr:col>1</xdr:col>
      <xdr:colOff>1288676</xdr:colOff>
      <xdr:row>3</xdr:row>
      <xdr:rowOff>268941</xdr:rowOff>
    </xdr:to>
    <xdr:cxnSp macro="">
      <xdr:nvCxnSpPr>
        <xdr:cNvPr id="6" name="Conector recto 5">
          <a:extLst>
            <a:ext uri="{FF2B5EF4-FFF2-40B4-BE49-F238E27FC236}">
              <a16:creationId xmlns:a16="http://schemas.microsoft.com/office/drawing/2014/main" id="{83F4FB99-3820-4419-999A-94B323EDA8CB}"/>
            </a:ext>
          </a:extLst>
        </xdr:cNvPr>
        <xdr:cNvCxnSpPr/>
      </xdr:nvCxnSpPr>
      <xdr:spPr>
        <a:xfrm flipV="1">
          <a:off x="1774451" y="11206"/>
          <a:ext cx="0" cy="108641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438150</xdr:colOff>
      <xdr:row>0</xdr:row>
      <xdr:rowOff>133350</xdr:rowOff>
    </xdr:from>
    <xdr:to>
      <xdr:col>1</xdr:col>
      <xdr:colOff>866774</xdr:colOff>
      <xdr:row>3</xdr:row>
      <xdr:rowOff>190500</xdr:rowOff>
    </xdr:to>
    <xdr:sp macro="" textlink="">
      <xdr:nvSpPr>
        <xdr:cNvPr id="7" name="Elipse 6">
          <a:extLst>
            <a:ext uri="{FF2B5EF4-FFF2-40B4-BE49-F238E27FC236}">
              <a16:creationId xmlns:a16="http://schemas.microsoft.com/office/drawing/2014/main" id="{B2F5CFB7-E6DE-450B-A329-A2579C2E37AF}"/>
            </a:ext>
          </a:extLst>
        </xdr:cNvPr>
        <xdr:cNvSpPr/>
      </xdr:nvSpPr>
      <xdr:spPr>
        <a:xfrm>
          <a:off x="438150" y="133350"/>
          <a:ext cx="914399" cy="885825"/>
        </a:xfrm>
        <a:prstGeom prst="ellipse">
          <a:avLst/>
        </a:prstGeom>
        <a:blipFill>
          <a:blip xmlns:r="http://schemas.openxmlformats.org/officeDocument/2006/relationships" r:embed="rId1"/>
          <a:stretch>
            <a:fillRect/>
          </a:stretch>
        </a:blipFill>
        <a:ln>
          <a:noFill/>
        </a:ln>
        <a:effectLst>
          <a:softEdge rad="31750"/>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457200" rtl="0" eaLnBrk="1" latinLnBrk="0" hangingPunct="1">
            <a:defRPr sz="1800" kern="1200">
              <a:solidFill>
                <a:schemeClr val="lt1"/>
              </a:solidFill>
              <a:latin typeface="+mn-lt"/>
              <a:ea typeface="+mn-ea"/>
              <a:cs typeface="+mn-cs"/>
            </a:defRPr>
          </a:lvl1pPr>
          <a:lvl2pPr marL="457200" algn="l" defTabSz="457200" rtl="0" eaLnBrk="1" latinLnBrk="0" hangingPunct="1">
            <a:defRPr sz="1800" kern="1200">
              <a:solidFill>
                <a:schemeClr val="lt1"/>
              </a:solidFill>
              <a:latin typeface="+mn-lt"/>
              <a:ea typeface="+mn-ea"/>
              <a:cs typeface="+mn-cs"/>
            </a:defRPr>
          </a:lvl2pPr>
          <a:lvl3pPr marL="914400" algn="l" defTabSz="457200" rtl="0" eaLnBrk="1" latinLnBrk="0" hangingPunct="1">
            <a:defRPr sz="1800" kern="1200">
              <a:solidFill>
                <a:schemeClr val="lt1"/>
              </a:solidFill>
              <a:latin typeface="+mn-lt"/>
              <a:ea typeface="+mn-ea"/>
              <a:cs typeface="+mn-cs"/>
            </a:defRPr>
          </a:lvl3pPr>
          <a:lvl4pPr marL="1371600" algn="l" defTabSz="457200" rtl="0" eaLnBrk="1" latinLnBrk="0" hangingPunct="1">
            <a:defRPr sz="1800" kern="1200">
              <a:solidFill>
                <a:schemeClr val="lt1"/>
              </a:solidFill>
              <a:latin typeface="+mn-lt"/>
              <a:ea typeface="+mn-ea"/>
              <a:cs typeface="+mn-cs"/>
            </a:defRPr>
          </a:lvl4pPr>
          <a:lvl5pPr marL="1828800" algn="l" defTabSz="457200" rtl="0" eaLnBrk="1" latinLnBrk="0" hangingPunct="1">
            <a:defRPr sz="1800" kern="1200">
              <a:solidFill>
                <a:schemeClr val="lt1"/>
              </a:solidFill>
              <a:latin typeface="+mn-lt"/>
              <a:ea typeface="+mn-ea"/>
              <a:cs typeface="+mn-cs"/>
            </a:defRPr>
          </a:lvl5pPr>
          <a:lvl6pPr marL="2286000" algn="l" defTabSz="457200" rtl="0" eaLnBrk="1" latinLnBrk="0" hangingPunct="1">
            <a:defRPr sz="1800" kern="1200">
              <a:solidFill>
                <a:schemeClr val="lt1"/>
              </a:solidFill>
              <a:latin typeface="+mn-lt"/>
              <a:ea typeface="+mn-ea"/>
              <a:cs typeface="+mn-cs"/>
            </a:defRPr>
          </a:lvl6pPr>
          <a:lvl7pPr marL="2743200" algn="l" defTabSz="457200" rtl="0" eaLnBrk="1" latinLnBrk="0" hangingPunct="1">
            <a:defRPr sz="1800" kern="1200">
              <a:solidFill>
                <a:schemeClr val="lt1"/>
              </a:solidFill>
              <a:latin typeface="+mn-lt"/>
              <a:ea typeface="+mn-ea"/>
              <a:cs typeface="+mn-cs"/>
            </a:defRPr>
          </a:lvl7pPr>
          <a:lvl8pPr marL="3200400" algn="l" defTabSz="457200" rtl="0" eaLnBrk="1" latinLnBrk="0" hangingPunct="1">
            <a:defRPr sz="1800" kern="1200">
              <a:solidFill>
                <a:schemeClr val="lt1"/>
              </a:solidFill>
              <a:latin typeface="+mn-lt"/>
              <a:ea typeface="+mn-ea"/>
              <a:cs typeface="+mn-cs"/>
            </a:defRPr>
          </a:lvl8pPr>
          <a:lvl9pPr marL="3657600" algn="l" defTabSz="457200" rtl="0" eaLnBrk="1" latinLnBrk="0" hangingPunct="1">
            <a:defRPr sz="1800" kern="1200">
              <a:solidFill>
                <a:schemeClr val="lt1"/>
              </a:solidFill>
              <a:latin typeface="+mn-lt"/>
              <a:ea typeface="+mn-ea"/>
              <a:cs typeface="+mn-cs"/>
            </a:defRPr>
          </a:lvl9pPr>
        </a:lstStyle>
        <a:p>
          <a:pPr algn="ctr"/>
          <a:endParaRPr lang="es-ES"/>
        </a:p>
      </xdr:txBody>
    </xdr:sp>
    <xdr:clientData/>
  </xdr:twoCellAnchor>
  <xdr:twoCellAnchor>
    <xdr:from>
      <xdr:col>1</xdr:col>
      <xdr:colOff>1114424</xdr:colOff>
      <xdr:row>21</xdr:row>
      <xdr:rowOff>133350</xdr:rowOff>
    </xdr:from>
    <xdr:to>
      <xdr:col>13</xdr:col>
      <xdr:colOff>304799</xdr:colOff>
      <xdr:row>21</xdr:row>
      <xdr:rowOff>1938337</xdr:rowOff>
    </xdr:to>
    <xdr:graphicFrame macro="">
      <xdr:nvGraphicFramePr>
        <xdr:cNvPr id="8" name="Gráfico 7">
          <a:extLst>
            <a:ext uri="{FF2B5EF4-FFF2-40B4-BE49-F238E27FC236}">
              <a16:creationId xmlns:a16="http://schemas.microsoft.com/office/drawing/2014/main" id="{AA927A62-E859-4941-BD13-3B8A0B7F04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ncruz/Downloads/MAT-014%20Matriz%20N&#233;stor%20Ago.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vargas/Downloads/EVALUACIONES%20DESEMPE&#209;O%202021/EVALUADA%20-%20EVALUACIONES%20DE%20DESEMPE&#209;O%20COMPILAD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ta Ana"/>
      <sheetName val="EFICACIA"/>
      <sheetName val="Presion"/>
      <sheetName val="Agua"/>
      <sheetName val="Suspension"/>
      <sheetName val="Calidad PTAP"/>
      <sheetName val="IRCA"/>
      <sheetName val="Parametros"/>
      <sheetName val="Calidad PTAR"/>
      <sheetName val="Aguavertida"/>
      <sheetName val="IRSA 2021"/>
      <sheetName val="IRSAL 2021"/>
      <sheetName val="ERACU 2021"/>
      <sheetName val="ERALCA 2021"/>
      <sheetName val="Encuestas de satisfacción"/>
      <sheetName val="Rotacion de Cartera."/>
      <sheetName val="Cumplimiento Legal SST"/>
      <sheetName val="Desemp de Proveedores "/>
      <sheetName val="Cumplimiento Capacitaciones"/>
      <sheetName val="Cobertura"/>
      <sheetName val="Eficaciacap"/>
      <sheetName val="Accidentalidad "/>
      <sheetName val="Indice de Frecuencia"/>
      <sheetName val="Indice de Severidad"/>
      <sheetName val="Indice de Lesiones Incapacitant"/>
      <sheetName val="Ausentismo laboral"/>
      <sheetName val="Cantidad de Incidentes"/>
      <sheetName val="Enfermedad Laboral"/>
      <sheetName val="Rotacion de Cartera"/>
    </sheetNames>
    <sheetDataSet>
      <sheetData sheetId="0" refreshError="1"/>
      <sheetData sheetId="1" refreshError="1"/>
      <sheetData sheetId="2" refreshError="1"/>
      <sheetData sheetId="3" refreshError="1">
        <row r="18">
          <cell r="C18" t="str">
            <v>ene</v>
          </cell>
          <cell r="D18" t="str">
            <v>feb</v>
          </cell>
          <cell r="E18" t="str">
            <v>mar</v>
          </cell>
          <cell r="F18" t="str">
            <v>abr</v>
          </cell>
          <cell r="G18" t="str">
            <v>may</v>
          </cell>
          <cell r="H18" t="str">
            <v>jun</v>
          </cell>
          <cell r="I18" t="str">
            <v>jul</v>
          </cell>
          <cell r="J18" t="str">
            <v>ago</v>
          </cell>
          <cell r="K18" t="str">
            <v>sep</v>
          </cell>
          <cell r="L18" t="str">
            <v>oct</v>
          </cell>
          <cell r="M18" t="str">
            <v>nov</v>
          </cell>
          <cell r="N18" t="str">
            <v>dic</v>
          </cell>
        </row>
        <row r="21">
          <cell r="A21" t="str">
            <v>CUMPLIMIENTO DE LA META= (diligenciar fórmula)</v>
          </cell>
          <cell r="C21">
            <v>0.75</v>
          </cell>
          <cell r="D21">
            <v>0.75</v>
          </cell>
          <cell r="E21">
            <v>0.75</v>
          </cell>
          <cell r="F21">
            <v>0.75</v>
          </cell>
          <cell r="G21">
            <v>0.75</v>
          </cell>
          <cell r="H21">
            <v>0.75</v>
          </cell>
          <cell r="I21">
            <v>0.75</v>
          </cell>
          <cell r="J21">
            <v>0.75</v>
          </cell>
          <cell r="K21">
            <v>0.75</v>
          </cell>
          <cell r="L21">
            <v>0.75</v>
          </cell>
          <cell r="M21">
            <v>0.75</v>
          </cell>
          <cell r="N21">
            <v>0.75</v>
          </cell>
        </row>
      </sheetData>
      <sheetData sheetId="4" refreshError="1">
        <row r="19">
          <cell r="C19" t="str">
            <v>ene</v>
          </cell>
          <cell r="D19" t="str">
            <v>feb</v>
          </cell>
          <cell r="E19" t="str">
            <v>mar</v>
          </cell>
          <cell r="F19" t="str">
            <v>abr</v>
          </cell>
          <cell r="G19" t="str">
            <v>may</v>
          </cell>
          <cell r="H19" t="str">
            <v>jun</v>
          </cell>
          <cell r="I19" t="str">
            <v>jul</v>
          </cell>
          <cell r="J19" t="str">
            <v>ago</v>
          </cell>
          <cell r="K19" t="str">
            <v>sep</v>
          </cell>
          <cell r="L19" t="str">
            <v>oct</v>
          </cell>
          <cell r="M19" t="str">
            <v>nov</v>
          </cell>
          <cell r="N19" t="str">
            <v>dic</v>
          </cell>
        </row>
      </sheetData>
      <sheetData sheetId="5" refreshError="1"/>
      <sheetData sheetId="6" refreshError="1"/>
      <sheetData sheetId="7" refreshError="1"/>
      <sheetData sheetId="8" refreshError="1">
        <row r="65">
          <cell r="C65" t="str">
            <v>Ene</v>
          </cell>
        </row>
        <row r="76">
          <cell r="C76">
            <v>1</v>
          </cell>
          <cell r="D76">
            <v>1</v>
          </cell>
          <cell r="E76">
            <v>1</v>
          </cell>
          <cell r="F76">
            <v>1</v>
          </cell>
        </row>
      </sheetData>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ltado"/>
      <sheetName val="Datos Compilados"/>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s>
    <sheetDataSet>
      <sheetData sheetId="0">
        <row r="3">
          <cell r="B3" t="str">
            <v>Administrativo</v>
          </cell>
          <cell r="C3" t="str">
            <v>Comercial</v>
          </cell>
          <cell r="D3" t="str">
            <v>Contabilidad</v>
          </cell>
          <cell r="E3" t="str">
            <v>Fontaneria</v>
          </cell>
          <cell r="F3" t="str">
            <v>Operativa Potable</v>
          </cell>
          <cell r="G3" t="str">
            <v>Operativa Residual</v>
          </cell>
        </row>
        <row r="10">
          <cell r="A10" t="str">
            <v>Eficacia Capacitaciones (%)</v>
          </cell>
          <cell r="B10">
            <v>1</v>
          </cell>
          <cell r="C10">
            <v>1</v>
          </cell>
          <cell r="D10">
            <v>1</v>
          </cell>
          <cell r="E10">
            <v>0.80000000000000016</v>
          </cell>
          <cell r="F10">
            <v>1</v>
          </cell>
          <cell r="G10">
            <v>0.97333333333333327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Set>
  </externalBook>
</externalLink>
</file>

<file path=xl/persons/person.xml><?xml version="1.0" encoding="utf-8"?>
<personList xmlns="http://schemas.microsoft.com/office/spreadsheetml/2018/threadedcomments" xmlns:x="http://schemas.openxmlformats.org/spreadsheetml/2006/main">
  <person displayName="EAA Santa Ana" id="{99C8A648-CB83-48AF-A271-0EF8753D7403}" userId="7d30cbf4de6cbc16" providerId="Windows Live"/>
</personList>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7" dT="2021-04-30T18:55:38.56" personId="{99C8A648-CB83-48AF-A271-0EF8753D7403}" id="{BC98DE44-4881-4800-94AF-1BB56A55348E}">
    <text>Son la cantidad de días que se cargan o asignan a una lesión generada por un accidente o enfermedad laboral, siempre que dicha lesión origine muerte, invalidez o incapacidad permanente parcial (IPP).</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8.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4.xml"/><Relationship Id="rId1" Type="http://schemas.openxmlformats.org/officeDocument/2006/relationships/printerSettings" Target="../printerSettings/printerSettings14.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5.xml"/><Relationship Id="rId1" Type="http://schemas.openxmlformats.org/officeDocument/2006/relationships/printerSettings" Target="../printerSettings/printerSettings15.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17.xml"/><Relationship Id="rId1" Type="http://schemas.openxmlformats.org/officeDocument/2006/relationships/printerSettings" Target="../printerSettings/printerSettings17.bin"/><Relationship Id="rId4" Type="http://schemas.openxmlformats.org/officeDocument/2006/relationships/comments" Target="../comments14.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18.xml"/><Relationship Id="rId1" Type="http://schemas.openxmlformats.org/officeDocument/2006/relationships/printerSettings" Target="../printerSettings/printerSettings18.bin"/><Relationship Id="rId4" Type="http://schemas.openxmlformats.org/officeDocument/2006/relationships/comments" Target="../comments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9.xml"/><Relationship Id="rId1" Type="http://schemas.openxmlformats.org/officeDocument/2006/relationships/printerSettings" Target="../printerSettings/printerSettings19.bin"/><Relationship Id="rId4" Type="http://schemas.openxmlformats.org/officeDocument/2006/relationships/comments" Target="../comments16.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21.xml"/><Relationship Id="rId1" Type="http://schemas.openxmlformats.org/officeDocument/2006/relationships/printerSettings" Target="../printerSettings/printerSettings21.bin"/><Relationship Id="rId4" Type="http://schemas.openxmlformats.org/officeDocument/2006/relationships/comments" Target="../comments17.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22.xml"/><Relationship Id="rId1" Type="http://schemas.openxmlformats.org/officeDocument/2006/relationships/printerSettings" Target="../printerSettings/printerSettings22.bin"/><Relationship Id="rId4" Type="http://schemas.openxmlformats.org/officeDocument/2006/relationships/comments" Target="../comments18.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9.vml"/><Relationship Id="rId2" Type="http://schemas.openxmlformats.org/officeDocument/2006/relationships/drawing" Target="../drawings/drawing23.xml"/><Relationship Id="rId1" Type="http://schemas.openxmlformats.org/officeDocument/2006/relationships/printerSettings" Target="../printerSettings/printerSettings23.bin"/><Relationship Id="rId4" Type="http://schemas.openxmlformats.org/officeDocument/2006/relationships/comments" Target="../comments19.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vmlDrawing" Target="../drawings/vmlDrawing20.vml"/><Relationship Id="rId2" Type="http://schemas.openxmlformats.org/officeDocument/2006/relationships/drawing" Target="../drawings/drawing26.xml"/><Relationship Id="rId1" Type="http://schemas.openxmlformats.org/officeDocument/2006/relationships/printerSettings" Target="../printerSettings/printerSettings26.bin"/><Relationship Id="rId5" Type="http://schemas.microsoft.com/office/2017/10/relationships/threadedComment" Target="../threadedComments/threadedComment1.xml"/><Relationship Id="rId4" Type="http://schemas.openxmlformats.org/officeDocument/2006/relationships/comments" Target="../comments20.xml"/></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vmlDrawing" Target="../drawings/vmlDrawing21.vml"/><Relationship Id="rId2" Type="http://schemas.openxmlformats.org/officeDocument/2006/relationships/drawing" Target="../drawings/drawing30.xml"/><Relationship Id="rId1" Type="http://schemas.openxmlformats.org/officeDocument/2006/relationships/printerSettings" Target="../printerSettings/printerSettings30.bin"/><Relationship Id="rId4" Type="http://schemas.openxmlformats.org/officeDocument/2006/relationships/comments" Target="../comments21.xml"/></Relationships>
</file>

<file path=xl/worksheets/_rels/sheet32.xml.rels><?xml version="1.0" encoding="UTF-8" standalone="yes"?>
<Relationships xmlns="http://schemas.openxmlformats.org/package/2006/relationships"><Relationship Id="rId3" Type="http://schemas.openxmlformats.org/officeDocument/2006/relationships/vmlDrawing" Target="../drawings/vmlDrawing22.vml"/><Relationship Id="rId2" Type="http://schemas.openxmlformats.org/officeDocument/2006/relationships/drawing" Target="../drawings/drawing31.xml"/><Relationship Id="rId1" Type="http://schemas.openxmlformats.org/officeDocument/2006/relationships/printerSettings" Target="../printerSettings/printerSettings31.bin"/><Relationship Id="rId4" Type="http://schemas.openxmlformats.org/officeDocument/2006/relationships/comments" Target="../comments2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M42"/>
  <sheetViews>
    <sheetView zoomScale="73" zoomScaleNormal="73" workbookViewId="0">
      <pane ySplit="1" topLeftCell="A31" activePane="bottomLeft" state="frozen"/>
      <selection activeCell="E1" sqref="E1"/>
      <selection pane="bottomLeft" activeCell="P40" sqref="P40"/>
    </sheetView>
  </sheetViews>
  <sheetFormatPr baseColWidth="10" defaultColWidth="11.42578125" defaultRowHeight="16.5"/>
  <cols>
    <col min="1" max="1" width="32.5703125" style="1" customWidth="1"/>
    <col min="2" max="2" width="33.5703125" style="1" customWidth="1"/>
    <col min="3" max="3" width="10.42578125" style="3" customWidth="1"/>
    <col min="4" max="4" width="35.42578125" style="2" customWidth="1"/>
    <col min="5" max="5" width="26.5703125" style="2" customWidth="1"/>
    <col min="6" max="6" width="21.5703125" style="2" customWidth="1"/>
    <col min="7" max="7" width="17.85546875" style="2" customWidth="1"/>
    <col min="8" max="8" width="20.42578125" style="2" customWidth="1"/>
    <col min="9" max="9" width="18.42578125" style="2" customWidth="1"/>
    <col min="10" max="10" width="17.140625" style="2" customWidth="1"/>
    <col min="11" max="11" width="41.5703125" style="2" customWidth="1"/>
    <col min="12" max="12" width="35.42578125" style="2" customWidth="1"/>
    <col min="13" max="13" width="19.5703125" style="2" customWidth="1"/>
    <col min="14" max="14" width="15" style="1" customWidth="1"/>
    <col min="15" max="24" width="11.42578125" style="1"/>
    <col min="25" max="25" width="22.85546875" style="1" bestFit="1" customWidth="1"/>
    <col min="26" max="37" width="11.42578125" style="1"/>
    <col min="38" max="38" width="14.5703125" style="1" customWidth="1"/>
    <col min="39" max="39" width="25.42578125" style="1" customWidth="1"/>
    <col min="40" max="16384" width="11.42578125" style="1"/>
  </cols>
  <sheetData>
    <row r="1" spans="1:39" ht="17.25" thickBot="1">
      <c r="A1" s="73"/>
      <c r="B1" s="73"/>
      <c r="C1" s="74"/>
      <c r="D1" s="75"/>
      <c r="E1" s="75"/>
      <c r="F1" s="75"/>
      <c r="G1" s="75"/>
      <c r="H1" s="75"/>
      <c r="I1" s="75"/>
      <c r="J1" s="75"/>
      <c r="K1" s="75"/>
      <c r="L1" s="75"/>
      <c r="M1" s="75"/>
      <c r="N1" s="674" t="s">
        <v>630</v>
      </c>
      <c r="O1" s="675"/>
      <c r="P1" s="675"/>
      <c r="Q1" s="675"/>
      <c r="R1" s="675"/>
      <c r="S1" s="675"/>
      <c r="T1" s="675"/>
      <c r="U1" s="675"/>
      <c r="V1" s="675"/>
      <c r="W1" s="675"/>
      <c r="X1" s="675"/>
      <c r="Y1" s="675"/>
      <c r="Z1" s="676" t="s">
        <v>233</v>
      </c>
      <c r="AA1" s="676"/>
      <c r="AB1" s="676"/>
      <c r="AC1" s="676"/>
      <c r="AD1" s="676"/>
      <c r="AE1" s="676"/>
      <c r="AF1" s="676"/>
      <c r="AG1" s="676"/>
      <c r="AH1" s="676"/>
      <c r="AI1" s="676"/>
      <c r="AJ1" s="676"/>
      <c r="AK1" s="677"/>
    </row>
    <row r="2" spans="1:39" s="3" customFormat="1" ht="56.25" customHeight="1" thickBot="1">
      <c r="A2" s="76" t="s">
        <v>0</v>
      </c>
      <c r="B2" s="76" t="s">
        <v>1</v>
      </c>
      <c r="C2" s="76"/>
      <c r="D2" s="77" t="s">
        <v>2</v>
      </c>
      <c r="E2" s="77" t="s">
        <v>3</v>
      </c>
      <c r="F2" s="77" t="s">
        <v>4</v>
      </c>
      <c r="G2" s="77" t="s">
        <v>5</v>
      </c>
      <c r="H2" s="77" t="s">
        <v>6</v>
      </c>
      <c r="I2" s="77" t="s">
        <v>7</v>
      </c>
      <c r="J2" s="77" t="s">
        <v>8</v>
      </c>
      <c r="K2" s="77" t="s">
        <v>9</v>
      </c>
      <c r="L2" s="77" t="s">
        <v>10</v>
      </c>
      <c r="M2" s="78" t="s">
        <v>11</v>
      </c>
      <c r="N2" s="456">
        <v>44197</v>
      </c>
      <c r="O2" s="456">
        <v>44228</v>
      </c>
      <c r="P2" s="456">
        <v>44256</v>
      </c>
      <c r="Q2" s="456">
        <v>44287</v>
      </c>
      <c r="R2" s="456">
        <v>44317</v>
      </c>
      <c r="S2" s="456">
        <v>44348</v>
      </c>
      <c r="T2" s="456">
        <v>44378</v>
      </c>
      <c r="U2" s="456">
        <v>44409</v>
      </c>
      <c r="V2" s="456">
        <v>44440</v>
      </c>
      <c r="W2" s="456">
        <v>44470</v>
      </c>
      <c r="X2" s="456">
        <v>44501</v>
      </c>
      <c r="Y2" s="456">
        <v>44531</v>
      </c>
      <c r="Z2" s="72">
        <v>44197</v>
      </c>
      <c r="AA2" s="72">
        <v>44228</v>
      </c>
      <c r="AB2" s="72">
        <v>44256</v>
      </c>
      <c r="AC2" s="72">
        <v>44287</v>
      </c>
      <c r="AD2" s="72">
        <v>44317</v>
      </c>
      <c r="AE2" s="72">
        <v>44348</v>
      </c>
      <c r="AF2" s="72">
        <v>44378</v>
      </c>
      <c r="AG2" s="72">
        <v>44409</v>
      </c>
      <c r="AH2" s="72">
        <v>44440</v>
      </c>
      <c r="AI2" s="72">
        <v>44470</v>
      </c>
      <c r="AJ2" s="72">
        <v>44501</v>
      </c>
      <c r="AK2" s="72">
        <v>44531</v>
      </c>
      <c r="AL2" s="683" t="s">
        <v>625</v>
      </c>
      <c r="AM2" s="684"/>
    </row>
    <row r="3" spans="1:39" ht="50.25" thickBot="1">
      <c r="A3" s="656" t="s">
        <v>710</v>
      </c>
      <c r="B3" s="658" t="s">
        <v>12</v>
      </c>
      <c r="C3" s="583">
        <v>1</v>
      </c>
      <c r="D3" s="584" t="s">
        <v>13</v>
      </c>
      <c r="E3" s="57" t="s">
        <v>14</v>
      </c>
      <c r="F3" s="58">
        <v>1</v>
      </c>
      <c r="G3" s="57" t="s">
        <v>15</v>
      </c>
      <c r="H3" s="57" t="s">
        <v>16</v>
      </c>
      <c r="I3" s="57" t="s">
        <v>17</v>
      </c>
      <c r="J3" s="57" t="s">
        <v>325</v>
      </c>
      <c r="K3" s="51" t="s">
        <v>316</v>
      </c>
      <c r="L3" s="54" t="s">
        <v>18</v>
      </c>
      <c r="M3" s="65" t="s">
        <v>126</v>
      </c>
      <c r="N3" s="298">
        <f>+Presion!C20</f>
        <v>1</v>
      </c>
      <c r="O3" s="454">
        <f>Presion!D20</f>
        <v>1</v>
      </c>
      <c r="P3" s="454">
        <f>Presion!E20</f>
        <v>1</v>
      </c>
      <c r="Q3" s="454">
        <f>Presion!F20</f>
        <v>1</v>
      </c>
      <c r="R3" s="454">
        <f>Presion!G20</f>
        <v>1</v>
      </c>
      <c r="S3" s="454">
        <f>Presion!H20</f>
        <v>1</v>
      </c>
      <c r="T3" s="454">
        <f>Presion!I20</f>
        <v>1</v>
      </c>
      <c r="U3" s="454"/>
      <c r="V3" s="454"/>
      <c r="W3" s="454"/>
      <c r="X3" s="454"/>
      <c r="Y3" s="454"/>
      <c r="Z3" s="678">
        <f>+AVERAGE(N3:N6)</f>
        <v>0.94743388501742154</v>
      </c>
      <c r="AA3" s="678">
        <f t="shared" ref="AA3:AF3" si="0">+AVERAGE(O3:O6)</f>
        <v>0.94644926704128995</v>
      </c>
      <c r="AB3" s="678">
        <f t="shared" si="0"/>
        <v>0.9499324119980167</v>
      </c>
      <c r="AC3" s="678">
        <f t="shared" si="0"/>
        <v>0.95448046687076304</v>
      </c>
      <c r="AD3" s="678">
        <f t="shared" si="0"/>
        <v>0.94982290664100089</v>
      </c>
      <c r="AE3" s="678">
        <f t="shared" si="0"/>
        <v>0.95345707512764399</v>
      </c>
      <c r="AF3" s="678">
        <f t="shared" si="0"/>
        <v>0.95679713114754095</v>
      </c>
      <c r="AG3" s="678"/>
      <c r="AH3" s="678"/>
      <c r="AI3" s="678"/>
      <c r="AJ3" s="678"/>
      <c r="AK3" s="678"/>
      <c r="AL3" s="530">
        <f>AVERAGE(Z3:AK6)</f>
        <v>0.95119616340623947</v>
      </c>
      <c r="AM3" s="531" t="str">
        <f>+B3</f>
        <v>Cumplir con la disponibilidad del servicio</v>
      </c>
    </row>
    <row r="4" spans="1:39" ht="49.5">
      <c r="A4" s="656"/>
      <c r="B4" s="659"/>
      <c r="C4" s="585">
        <v>2</v>
      </c>
      <c r="D4" s="586" t="s">
        <v>19</v>
      </c>
      <c r="E4" s="59" t="s">
        <v>20</v>
      </c>
      <c r="F4" s="59" t="s">
        <v>47</v>
      </c>
      <c r="G4" s="59" t="s">
        <v>15</v>
      </c>
      <c r="H4" s="59" t="s">
        <v>16</v>
      </c>
      <c r="I4" s="59" t="s">
        <v>21</v>
      </c>
      <c r="J4" s="59" t="s">
        <v>15</v>
      </c>
      <c r="K4" s="51" t="s">
        <v>22</v>
      </c>
      <c r="L4" s="54" t="s">
        <v>18</v>
      </c>
      <c r="M4" s="65" t="s">
        <v>126</v>
      </c>
      <c r="N4" s="119">
        <f>Agua!C20</f>
        <v>0.88543554006968639</v>
      </c>
      <c r="O4" s="455">
        <f>Agua!D20</f>
        <v>0.88399706816515999</v>
      </c>
      <c r="P4" s="455">
        <f>Agua!E20</f>
        <v>0.89062964799206745</v>
      </c>
      <c r="Q4" s="455">
        <f>Agua!F20</f>
        <v>0.90002186748305268</v>
      </c>
      <c r="R4" s="455">
        <f>Agua!G20</f>
        <v>0.89829162656400385</v>
      </c>
      <c r="S4" s="455">
        <f>Agua!H20</f>
        <v>0.89722830051057623</v>
      </c>
      <c r="T4" s="455">
        <f>Agua!I20</f>
        <v>0.90368852459016391</v>
      </c>
      <c r="U4" s="455"/>
      <c r="V4" s="455"/>
      <c r="W4" s="455"/>
      <c r="X4" s="455"/>
      <c r="Y4" s="455"/>
      <c r="Z4" s="679"/>
      <c r="AA4" s="679"/>
      <c r="AB4" s="679"/>
      <c r="AC4" s="679"/>
      <c r="AD4" s="679"/>
      <c r="AE4" s="679"/>
      <c r="AF4" s="679"/>
      <c r="AG4" s="679"/>
      <c r="AH4" s="679"/>
      <c r="AI4" s="679"/>
      <c r="AJ4" s="679"/>
      <c r="AK4" s="679"/>
    </row>
    <row r="5" spans="1:39" ht="49.5">
      <c r="A5" s="656"/>
      <c r="B5" s="659"/>
      <c r="C5" s="585">
        <v>3</v>
      </c>
      <c r="D5" s="586" t="s">
        <v>723</v>
      </c>
      <c r="E5" s="59" t="s">
        <v>724</v>
      </c>
      <c r="F5" s="59" t="s">
        <v>725</v>
      </c>
      <c r="G5" s="59" t="s">
        <v>15</v>
      </c>
      <c r="H5" s="59" t="s">
        <v>16</v>
      </c>
      <c r="I5" s="59" t="s">
        <v>21</v>
      </c>
      <c r="J5" s="59" t="s">
        <v>15</v>
      </c>
      <c r="K5" s="51" t="s">
        <v>726</v>
      </c>
      <c r="L5" s="54" t="s">
        <v>18</v>
      </c>
      <c r="M5" s="65" t="s">
        <v>126</v>
      </c>
      <c r="N5" s="119">
        <f>+IPUF!C21</f>
        <v>0.90429999999999999</v>
      </c>
      <c r="O5" s="119">
        <f>+IPUF!D21</f>
        <v>0.90180000000000005</v>
      </c>
      <c r="P5" s="119">
        <f>+IPUF!E21</f>
        <v>0.90910000000000002</v>
      </c>
      <c r="Q5" s="119">
        <f>+IPUF!F21</f>
        <v>0.91790000000000005</v>
      </c>
      <c r="R5" s="119">
        <f>+IPUF!G21</f>
        <v>0.91769999999999996</v>
      </c>
      <c r="S5" s="119">
        <f>+IPUF!H21</f>
        <v>0.91659999999999997</v>
      </c>
      <c r="T5" s="119">
        <f>+IPUF!I21</f>
        <v>0.92349999999999999</v>
      </c>
      <c r="U5" s="455"/>
      <c r="V5" s="455"/>
      <c r="W5" s="455"/>
      <c r="X5" s="455"/>
      <c r="Y5" s="455"/>
      <c r="Z5" s="679"/>
      <c r="AA5" s="679"/>
      <c r="AB5" s="679"/>
      <c r="AC5" s="679"/>
      <c r="AD5" s="679"/>
      <c r="AE5" s="679"/>
      <c r="AF5" s="679"/>
      <c r="AG5" s="679"/>
      <c r="AH5" s="679"/>
      <c r="AI5" s="679"/>
      <c r="AJ5" s="679"/>
      <c r="AK5" s="679"/>
    </row>
    <row r="6" spans="1:39" ht="83.25" thickBot="1">
      <c r="A6" s="656"/>
      <c r="B6" s="659"/>
      <c r="C6" s="585">
        <v>4</v>
      </c>
      <c r="D6" s="586" t="s">
        <v>23</v>
      </c>
      <c r="E6" s="59" t="s">
        <v>24</v>
      </c>
      <c r="F6" s="59" t="s">
        <v>25</v>
      </c>
      <c r="G6" s="59" t="s">
        <v>15</v>
      </c>
      <c r="H6" s="59" t="s">
        <v>16</v>
      </c>
      <c r="I6" s="59" t="s">
        <v>26</v>
      </c>
      <c r="J6" s="59" t="s">
        <v>27</v>
      </c>
      <c r="K6" s="51" t="s">
        <v>28</v>
      </c>
      <c r="L6" s="54" t="s">
        <v>18</v>
      </c>
      <c r="M6" s="65" t="s">
        <v>126</v>
      </c>
      <c r="N6" s="119">
        <f>Suspension!C21</f>
        <v>0.99999999999999956</v>
      </c>
      <c r="O6" s="455">
        <f>Suspension!D21</f>
        <v>0.99999999999999956</v>
      </c>
      <c r="P6" s="455">
        <f>Suspension!E21</f>
        <v>0.99999999999999956</v>
      </c>
      <c r="Q6" s="455">
        <f>Suspension!F21</f>
        <v>0.99999999999999956</v>
      </c>
      <c r="R6" s="455">
        <f>Suspension!G21</f>
        <v>0.98329999999999995</v>
      </c>
      <c r="S6" s="455">
        <f>Suspension!H21</f>
        <v>1</v>
      </c>
      <c r="T6" s="455">
        <f>Suspension!I21</f>
        <v>1</v>
      </c>
      <c r="U6" s="455"/>
      <c r="V6" s="455"/>
      <c r="W6" s="455"/>
      <c r="X6" s="455"/>
      <c r="Y6" s="455"/>
      <c r="Z6" s="679"/>
      <c r="AA6" s="679"/>
      <c r="AB6" s="679"/>
      <c r="AC6" s="679"/>
      <c r="AD6" s="679"/>
      <c r="AE6" s="679"/>
      <c r="AF6" s="679"/>
      <c r="AG6" s="679"/>
      <c r="AH6" s="679"/>
      <c r="AI6" s="679"/>
      <c r="AJ6" s="679"/>
      <c r="AK6" s="679"/>
    </row>
    <row r="7" spans="1:39" ht="66.75" thickBot="1">
      <c r="A7" s="656"/>
      <c r="B7" s="667" t="s">
        <v>711</v>
      </c>
      <c r="C7" s="587">
        <v>5</v>
      </c>
      <c r="D7" s="588" t="s">
        <v>30</v>
      </c>
      <c r="E7" s="59" t="s">
        <v>31</v>
      </c>
      <c r="F7" s="59" t="s">
        <v>32</v>
      </c>
      <c r="G7" s="59" t="s">
        <v>15</v>
      </c>
      <c r="H7" s="59" t="s">
        <v>16</v>
      </c>
      <c r="I7" s="59" t="s">
        <v>33</v>
      </c>
      <c r="J7" s="59" t="s">
        <v>34</v>
      </c>
      <c r="K7" s="51" t="s">
        <v>35</v>
      </c>
      <c r="L7" s="54" t="s">
        <v>18</v>
      </c>
      <c r="M7" s="65" t="s">
        <v>126</v>
      </c>
      <c r="N7" s="298">
        <f>IRCA!C21</f>
        <v>1</v>
      </c>
      <c r="O7" s="454">
        <f>IRCA!D21</f>
        <v>1</v>
      </c>
      <c r="P7" s="454">
        <f>IRCA!E21</f>
        <v>1</v>
      </c>
      <c r="Q7" s="454">
        <f>IRCA!F21</f>
        <v>1</v>
      </c>
      <c r="R7" s="454">
        <f>IRCA!G21</f>
        <v>1</v>
      </c>
      <c r="S7" s="454">
        <f>IRCA!H21</f>
        <v>1</v>
      </c>
      <c r="T7" s="454">
        <f>IRCA!I21</f>
        <v>1</v>
      </c>
      <c r="U7" s="454"/>
      <c r="V7" s="454"/>
      <c r="W7" s="454"/>
      <c r="X7" s="454"/>
      <c r="Y7" s="454"/>
      <c r="Z7" s="650">
        <f t="shared" ref="Z7:AF7" si="1">AVERAGE(N7:N9)</f>
        <v>1</v>
      </c>
      <c r="AA7" s="653">
        <f t="shared" si="1"/>
        <v>1</v>
      </c>
      <c r="AB7" s="653">
        <f t="shared" si="1"/>
        <v>1</v>
      </c>
      <c r="AC7" s="653">
        <f t="shared" si="1"/>
        <v>1</v>
      </c>
      <c r="AD7" s="653">
        <f t="shared" si="1"/>
        <v>1</v>
      </c>
      <c r="AE7" s="653">
        <f t="shared" si="1"/>
        <v>1</v>
      </c>
      <c r="AF7" s="653">
        <f t="shared" si="1"/>
        <v>1</v>
      </c>
      <c r="AG7" s="653"/>
      <c r="AH7" s="653"/>
      <c r="AI7" s="653"/>
      <c r="AJ7" s="653"/>
      <c r="AK7" s="680"/>
      <c r="AL7" s="536">
        <f>((AVERAGE(Z7:AK9)))</f>
        <v>1</v>
      </c>
      <c r="AM7" s="531" t="str">
        <f>+B7</f>
        <v xml:space="preserve">Cumplir con los parámetros de calidad </v>
      </c>
    </row>
    <row r="8" spans="1:39" ht="115.5">
      <c r="A8" s="656"/>
      <c r="B8" s="668"/>
      <c r="C8" s="587">
        <v>6</v>
      </c>
      <c r="D8" s="588" t="s">
        <v>36</v>
      </c>
      <c r="E8" s="59" t="s">
        <v>37</v>
      </c>
      <c r="F8" s="59" t="s">
        <v>38</v>
      </c>
      <c r="G8" s="59" t="s">
        <v>15</v>
      </c>
      <c r="H8" s="59" t="s">
        <v>16</v>
      </c>
      <c r="I8" s="59" t="s">
        <v>39</v>
      </c>
      <c r="J8" s="59" t="s">
        <v>15</v>
      </c>
      <c r="K8" s="51" t="s">
        <v>40</v>
      </c>
      <c r="L8" s="54" t="s">
        <v>18</v>
      </c>
      <c r="M8" s="65" t="s">
        <v>126</v>
      </c>
      <c r="N8" s="308">
        <f>+'Parametros '!C20</f>
        <v>1</v>
      </c>
      <c r="O8" s="309">
        <f>'Parametros '!D20</f>
        <v>1</v>
      </c>
      <c r="P8" s="309">
        <f>'Parametros '!E20</f>
        <v>1</v>
      </c>
      <c r="Q8" s="309">
        <f>'Parametros '!F20</f>
        <v>1</v>
      </c>
      <c r="R8" s="309">
        <f>'Parametros '!G20</f>
        <v>1</v>
      </c>
      <c r="S8" s="309">
        <f>'Parametros '!H20</f>
        <v>1</v>
      </c>
      <c r="T8" s="309">
        <f>'Parametros '!I20</f>
        <v>1</v>
      </c>
      <c r="U8" s="309"/>
      <c r="V8" s="309"/>
      <c r="W8" s="309"/>
      <c r="X8" s="309"/>
      <c r="Y8" s="309"/>
      <c r="Z8" s="651"/>
      <c r="AA8" s="654"/>
      <c r="AB8" s="654"/>
      <c r="AC8" s="654"/>
      <c r="AD8" s="654"/>
      <c r="AE8" s="654"/>
      <c r="AF8" s="654"/>
      <c r="AG8" s="654"/>
      <c r="AH8" s="654"/>
      <c r="AI8" s="654"/>
      <c r="AJ8" s="654"/>
      <c r="AK8" s="681"/>
    </row>
    <row r="9" spans="1:39" ht="66.75" thickBot="1">
      <c r="A9" s="656"/>
      <c r="B9" s="669"/>
      <c r="C9" s="587">
        <v>7</v>
      </c>
      <c r="D9" s="588" t="s">
        <v>41</v>
      </c>
      <c r="E9" s="59" t="s">
        <v>42</v>
      </c>
      <c r="F9" s="59" t="s">
        <v>43</v>
      </c>
      <c r="G9" s="59" t="s">
        <v>15</v>
      </c>
      <c r="H9" s="59" t="s">
        <v>29</v>
      </c>
      <c r="I9" s="59" t="s">
        <v>39</v>
      </c>
      <c r="J9" s="59" t="s">
        <v>15</v>
      </c>
      <c r="K9" s="51" t="s">
        <v>44</v>
      </c>
      <c r="L9" s="51" t="s">
        <v>234</v>
      </c>
      <c r="M9" s="65" t="s">
        <v>229</v>
      </c>
      <c r="N9" s="299">
        <f>+'Parametros PTAR'!C20</f>
        <v>1</v>
      </c>
      <c r="O9" s="526">
        <f>'Parametros PTAR'!D20</f>
        <v>1</v>
      </c>
      <c r="P9" s="526">
        <f>'Parametros PTAR'!E20</f>
        <v>1</v>
      </c>
      <c r="Q9" s="526">
        <f>'Parametros PTAR'!F20</f>
        <v>1</v>
      </c>
      <c r="R9" s="526">
        <f>'Parametros PTAR'!G20</f>
        <v>1</v>
      </c>
      <c r="S9" s="526">
        <f>'Parametros PTAR'!H20</f>
        <v>1</v>
      </c>
      <c r="T9" s="526">
        <f>'Parametros PTAR'!I20</f>
        <v>1</v>
      </c>
      <c r="U9" s="526"/>
      <c r="V9" s="526"/>
      <c r="W9" s="526"/>
      <c r="X9" s="526"/>
      <c r="Y9" s="526"/>
      <c r="Z9" s="652"/>
      <c r="AA9" s="655"/>
      <c r="AB9" s="655"/>
      <c r="AC9" s="655"/>
      <c r="AD9" s="655"/>
      <c r="AE9" s="655"/>
      <c r="AF9" s="655"/>
      <c r="AG9" s="655"/>
      <c r="AH9" s="655"/>
      <c r="AI9" s="655"/>
      <c r="AJ9" s="655"/>
      <c r="AK9" s="682"/>
    </row>
    <row r="10" spans="1:39" ht="54.75" customHeight="1" thickBot="1">
      <c r="A10" s="656"/>
      <c r="B10" s="595" t="s">
        <v>712</v>
      </c>
      <c r="C10" s="596">
        <v>8</v>
      </c>
      <c r="D10" s="597" t="s">
        <v>45</v>
      </c>
      <c r="E10" s="59" t="s">
        <v>46</v>
      </c>
      <c r="F10" s="59" t="s">
        <v>47</v>
      </c>
      <c r="G10" s="59" t="s">
        <v>27</v>
      </c>
      <c r="H10" s="59" t="s">
        <v>257</v>
      </c>
      <c r="I10" s="59" t="s">
        <v>48</v>
      </c>
      <c r="J10" s="59" t="s">
        <v>15</v>
      </c>
      <c r="K10" s="51" t="s">
        <v>49</v>
      </c>
      <c r="L10" s="51" t="s">
        <v>50</v>
      </c>
      <c r="M10" s="65" t="s">
        <v>258</v>
      </c>
      <c r="N10" s="609"/>
      <c r="O10" s="610"/>
      <c r="P10" s="611">
        <f>'Cumplimiento Legal '!C39</f>
        <v>1</v>
      </c>
      <c r="Q10" s="610"/>
      <c r="R10" s="610"/>
      <c r="S10" s="612">
        <f>'Cumplimiento Legal '!D40</f>
        <v>1</v>
      </c>
      <c r="T10" s="610"/>
      <c r="U10" s="610"/>
      <c r="V10" s="612"/>
      <c r="W10" s="610"/>
      <c r="X10" s="610"/>
      <c r="Y10" s="613"/>
      <c r="Z10" s="614"/>
      <c r="AA10" s="614"/>
      <c r="AB10" s="614">
        <f>+P10</f>
        <v>1</v>
      </c>
      <c r="AC10" s="614"/>
      <c r="AD10" s="614"/>
      <c r="AE10" s="614">
        <f>+S10</f>
        <v>1</v>
      </c>
      <c r="AF10" s="614"/>
      <c r="AG10" s="614"/>
      <c r="AH10" s="614"/>
      <c r="AI10" s="614"/>
      <c r="AJ10" s="614"/>
      <c r="AK10" s="614"/>
      <c r="AL10" s="530">
        <f>AVERAGE(Z10:AK10)</f>
        <v>1</v>
      </c>
      <c r="AM10" s="531" t="str">
        <f>+B10</f>
        <v xml:space="preserve">Cumplimiento de requisitos legales </v>
      </c>
    </row>
    <row r="11" spans="1:39" ht="55.5" customHeight="1" thickBot="1">
      <c r="A11" s="656"/>
      <c r="B11" s="660" t="s">
        <v>51</v>
      </c>
      <c r="C11" s="589">
        <v>9</v>
      </c>
      <c r="D11" s="590" t="s">
        <v>52</v>
      </c>
      <c r="E11" s="59" t="s">
        <v>53</v>
      </c>
      <c r="F11" s="59" t="s">
        <v>54</v>
      </c>
      <c r="G11" s="59" t="s">
        <v>27</v>
      </c>
      <c r="H11" s="59" t="s">
        <v>55</v>
      </c>
      <c r="I11" s="59" t="s">
        <v>56</v>
      </c>
      <c r="J11" s="59" t="s">
        <v>27</v>
      </c>
      <c r="K11" s="51" t="s">
        <v>57</v>
      </c>
      <c r="L11" s="51" t="s">
        <v>50</v>
      </c>
      <c r="M11" s="65" t="s">
        <v>258</v>
      </c>
      <c r="N11" s="298"/>
      <c r="O11" s="454"/>
      <c r="P11" s="454"/>
      <c r="Q11" s="454"/>
      <c r="R11" s="454"/>
      <c r="S11" s="454"/>
      <c r="T11" s="454"/>
      <c r="U11" s="454"/>
      <c r="V11" s="454"/>
      <c r="W11" s="454"/>
      <c r="X11" s="454"/>
      <c r="Y11" s="548"/>
      <c r="Z11" s="648"/>
      <c r="AA11" s="648"/>
      <c r="AB11" s="648">
        <f>AVERAGE(N11:P12)</f>
        <v>1</v>
      </c>
      <c r="AC11" s="648"/>
      <c r="AD11" s="648"/>
      <c r="AE11" s="648">
        <f>AVERAGE(Q11:S12)</f>
        <v>0.88768115942028991</v>
      </c>
      <c r="AF11" s="648"/>
      <c r="AG11" s="648"/>
      <c r="AH11" s="648"/>
      <c r="AI11" s="648"/>
      <c r="AJ11" s="648"/>
      <c r="AK11" s="648"/>
      <c r="AL11" s="530">
        <f>AVERAGE(Z11:AK11)</f>
        <v>0.94384057971014501</v>
      </c>
      <c r="AM11" s="531" t="str">
        <f>+B11</f>
        <v>Contar con recursos humanos competentes</v>
      </c>
    </row>
    <row r="12" spans="1:39" ht="50.25" thickBot="1">
      <c r="A12" s="656"/>
      <c r="B12" s="660"/>
      <c r="C12" s="589">
        <v>10</v>
      </c>
      <c r="D12" s="591" t="s">
        <v>58</v>
      </c>
      <c r="E12" s="59" t="s">
        <v>59</v>
      </c>
      <c r="F12" s="59" t="s">
        <v>54</v>
      </c>
      <c r="G12" s="59" t="s">
        <v>27</v>
      </c>
      <c r="H12" s="59" t="s">
        <v>55</v>
      </c>
      <c r="I12" s="59" t="s">
        <v>56</v>
      </c>
      <c r="J12" s="59" t="s">
        <v>27</v>
      </c>
      <c r="K12" s="51" t="s">
        <v>60</v>
      </c>
      <c r="L12" s="51" t="s">
        <v>50</v>
      </c>
      <c r="M12" s="65" t="s">
        <v>258</v>
      </c>
      <c r="N12" s="299">
        <f>+Cobertura!C20</f>
        <v>1</v>
      </c>
      <c r="O12" s="526">
        <f>+Cobertura!D20</f>
        <v>1</v>
      </c>
      <c r="P12" s="526">
        <f>+Cobertura!E20</f>
        <v>1</v>
      </c>
      <c r="Q12" s="526">
        <f>+Cobertura!F20</f>
        <v>0.875</v>
      </c>
      <c r="R12" s="526">
        <f>+Cobertura!G20</f>
        <v>0.91304347826086951</v>
      </c>
      <c r="S12" s="526">
        <f>+Cobertura!H20</f>
        <v>0.875</v>
      </c>
      <c r="T12" s="526">
        <f>+Cobertura!I20</f>
        <v>1</v>
      </c>
      <c r="U12" s="526"/>
      <c r="V12" s="526"/>
      <c r="W12" s="526"/>
      <c r="X12" s="526"/>
      <c r="Y12" s="549"/>
      <c r="Z12" s="649"/>
      <c r="AA12" s="649"/>
      <c r="AB12" s="649"/>
      <c r="AC12" s="649"/>
      <c r="AD12" s="649"/>
      <c r="AE12" s="649"/>
      <c r="AF12" s="649"/>
      <c r="AG12" s="649"/>
      <c r="AH12" s="649"/>
      <c r="AI12" s="649"/>
      <c r="AJ12" s="649"/>
      <c r="AK12" s="649"/>
    </row>
    <row r="13" spans="1:39" ht="50.25" thickBot="1">
      <c r="A13" s="656"/>
      <c r="B13" s="592" t="s">
        <v>61</v>
      </c>
      <c r="C13" s="593">
        <v>11</v>
      </c>
      <c r="D13" s="594" t="s">
        <v>62</v>
      </c>
      <c r="E13" s="59" t="s">
        <v>63</v>
      </c>
      <c r="F13" s="59" t="s">
        <v>64</v>
      </c>
      <c r="G13" s="59" t="s">
        <v>27</v>
      </c>
      <c r="H13" s="59" t="s">
        <v>65</v>
      </c>
      <c r="I13" s="59" t="s">
        <v>66</v>
      </c>
      <c r="J13" s="59" t="s">
        <v>67</v>
      </c>
      <c r="K13" s="51" t="s">
        <v>68</v>
      </c>
      <c r="L13" s="51" t="s">
        <v>86</v>
      </c>
      <c r="M13" s="65" t="s">
        <v>258</v>
      </c>
      <c r="N13" s="119"/>
      <c r="O13" s="455"/>
      <c r="P13" s="455">
        <f>'Desemp de Proveedores '!D32</f>
        <v>0.91</v>
      </c>
      <c r="Q13" s="455"/>
      <c r="R13" s="455"/>
      <c r="S13" s="455">
        <f>'Desemp de Proveedores '!F32</f>
        <v>0.97</v>
      </c>
      <c r="T13" s="455"/>
      <c r="U13" s="455"/>
      <c r="V13" s="455"/>
      <c r="W13" s="455"/>
      <c r="X13" s="455"/>
      <c r="Y13" s="550"/>
      <c r="Z13" s="70"/>
      <c r="AA13" s="70"/>
      <c r="AB13" s="70">
        <f>+P13</f>
        <v>0.91</v>
      </c>
      <c r="AC13" s="70"/>
      <c r="AD13" s="70"/>
      <c r="AE13" s="70">
        <f>+AVERAGE(S13)</f>
        <v>0.97</v>
      </c>
      <c r="AF13" s="70"/>
      <c r="AG13" s="70"/>
      <c r="AH13" s="70"/>
      <c r="AI13" s="71"/>
      <c r="AJ13" s="69"/>
      <c r="AK13" s="529"/>
      <c r="AL13" s="530">
        <f>(AVERAGE(Z13:AK13))</f>
        <v>0.94</v>
      </c>
      <c r="AM13" s="531" t="str">
        <f>+B13</f>
        <v>Gestionar proveedores</v>
      </c>
    </row>
    <row r="14" spans="1:39" ht="66.75" thickBot="1">
      <c r="A14" s="656"/>
      <c r="B14" s="664" t="s">
        <v>69</v>
      </c>
      <c r="C14" s="600">
        <v>12</v>
      </c>
      <c r="D14" s="601" t="s">
        <v>232</v>
      </c>
      <c r="E14" s="59" t="s">
        <v>231</v>
      </c>
      <c r="F14" s="60">
        <v>1</v>
      </c>
      <c r="G14" s="59" t="s">
        <v>15</v>
      </c>
      <c r="H14" s="59" t="s">
        <v>71</v>
      </c>
      <c r="I14" s="59" t="s">
        <v>72</v>
      </c>
      <c r="J14" s="59" t="s">
        <v>15</v>
      </c>
      <c r="K14" s="51" t="s">
        <v>73</v>
      </c>
      <c r="L14" s="51" t="s">
        <v>297</v>
      </c>
      <c r="M14" s="66" t="s">
        <v>74</v>
      </c>
      <c r="N14" s="313">
        <f>+'Reclamaciones Alcan 2022'!C23</f>
        <v>1</v>
      </c>
      <c r="O14" s="314">
        <f>+'Reclamaciones Alcan 2022'!D23</f>
        <v>1</v>
      </c>
      <c r="P14" s="314">
        <f>+'Reclamaciones Alcan 2022'!E23</f>
        <v>1</v>
      </c>
      <c r="Q14" s="314">
        <f>+'Reclamaciones Alcan 2022'!F23</f>
        <v>1</v>
      </c>
      <c r="R14" s="314">
        <f>+'Reclamaciones Alcan 2022'!G23</f>
        <v>1</v>
      </c>
      <c r="S14" s="314">
        <f>+'Reclamaciones Alcan 2022'!H23</f>
        <v>1</v>
      </c>
      <c r="T14" s="314">
        <f>+'Reclamaciones Alcan 2022'!I23</f>
        <v>1</v>
      </c>
      <c r="U14" s="314"/>
      <c r="V14" s="314"/>
      <c r="W14" s="314"/>
      <c r="X14" s="314"/>
      <c r="Y14" s="314"/>
      <c r="Z14" s="646">
        <f>AVERAGE(N14:N19)</f>
        <v>0.9662281550060392</v>
      </c>
      <c r="AA14" s="646">
        <f t="shared" ref="AA14:AF14" si="2">AVERAGE(O14:O19)</f>
        <v>0.96516952290252578</v>
      </c>
      <c r="AB14" s="646">
        <f t="shared" si="2"/>
        <v>0.97220271960579985</v>
      </c>
      <c r="AC14" s="646">
        <f t="shared" si="2"/>
        <v>0.97183884518264707</v>
      </c>
      <c r="AD14" s="646">
        <f t="shared" si="2"/>
        <v>0.97369024523181302</v>
      </c>
      <c r="AE14" s="646">
        <f t="shared" si="2"/>
        <v>0.96763290433910731</v>
      </c>
      <c r="AF14" s="646">
        <f t="shared" si="2"/>
        <v>0.97083534154880446</v>
      </c>
      <c r="AG14" s="648"/>
      <c r="AH14" s="648"/>
      <c r="AI14" s="648"/>
      <c r="AJ14" s="648"/>
      <c r="AK14" s="648"/>
      <c r="AL14" s="530">
        <f>(AVERAGE(Z14:AK19))</f>
        <v>0.96965681911667656</v>
      </c>
      <c r="AM14" s="531" t="str">
        <f>+B14</f>
        <v>Brindar servicios satisfactorios para los usuarios</v>
      </c>
    </row>
    <row r="15" spans="1:39" ht="66">
      <c r="A15" s="656"/>
      <c r="B15" s="665"/>
      <c r="C15" s="600">
        <v>13</v>
      </c>
      <c r="D15" s="602" t="s">
        <v>75</v>
      </c>
      <c r="E15" s="59" t="s">
        <v>70</v>
      </c>
      <c r="F15" s="60">
        <v>1</v>
      </c>
      <c r="G15" s="59" t="s">
        <v>15</v>
      </c>
      <c r="H15" s="59" t="s">
        <v>71</v>
      </c>
      <c r="I15" s="59" t="s">
        <v>72</v>
      </c>
      <c r="J15" s="59" t="s">
        <v>15</v>
      </c>
      <c r="K15" s="51" t="s">
        <v>73</v>
      </c>
      <c r="L15" s="51" t="s">
        <v>297</v>
      </c>
      <c r="M15" s="66" t="s">
        <v>74</v>
      </c>
      <c r="N15" s="315">
        <f>+'Reclamaciones Acue- 2022'!C23</f>
        <v>1</v>
      </c>
      <c r="O15" s="316">
        <f>+'Reclamaciones Acue- 2022'!D23</f>
        <v>1</v>
      </c>
      <c r="P15" s="316">
        <f>+'Reclamaciones Acue- 2022'!E23</f>
        <v>1</v>
      </c>
      <c r="Q15" s="316">
        <f>+'Reclamaciones Acue- 2022'!F23</f>
        <v>1</v>
      </c>
      <c r="R15" s="316">
        <f>+'Reclamaciones Acue- 2022'!G23</f>
        <v>1</v>
      </c>
      <c r="S15" s="316">
        <f>+'Reclamaciones Acue- 2022'!H23</f>
        <v>1</v>
      </c>
      <c r="T15" s="316">
        <f>+'Reclamaciones Acue- 2022'!I23</f>
        <v>1</v>
      </c>
      <c r="U15" s="316"/>
      <c r="V15" s="316"/>
      <c r="W15" s="316"/>
      <c r="X15" s="316"/>
      <c r="Y15" s="316"/>
      <c r="Z15" s="647"/>
      <c r="AA15" s="647"/>
      <c r="AB15" s="647"/>
      <c r="AC15" s="647"/>
      <c r="AD15" s="647"/>
      <c r="AE15" s="647"/>
      <c r="AF15" s="647"/>
      <c r="AG15" s="673"/>
      <c r="AH15" s="673"/>
      <c r="AI15" s="673"/>
      <c r="AJ15" s="673"/>
      <c r="AK15" s="673"/>
    </row>
    <row r="16" spans="1:39" ht="66">
      <c r="A16" s="656"/>
      <c r="B16" s="665"/>
      <c r="C16" s="600">
        <v>14</v>
      </c>
      <c r="D16" s="602" t="s">
        <v>76</v>
      </c>
      <c r="E16" s="59" t="s">
        <v>230</v>
      </c>
      <c r="F16" s="61" t="s">
        <v>298</v>
      </c>
      <c r="G16" s="59" t="s">
        <v>77</v>
      </c>
      <c r="H16" s="59" t="s">
        <v>71</v>
      </c>
      <c r="I16" s="59" t="s">
        <v>76</v>
      </c>
      <c r="J16" s="59" t="s">
        <v>77</v>
      </c>
      <c r="K16" s="51" t="s">
        <v>78</v>
      </c>
      <c r="L16" s="51" t="s">
        <v>297</v>
      </c>
      <c r="M16" s="66" t="s">
        <v>74</v>
      </c>
      <c r="N16" s="315"/>
      <c r="O16" s="316"/>
      <c r="P16" s="316"/>
      <c r="Q16" s="316"/>
      <c r="R16" s="316"/>
      <c r="S16" s="316"/>
      <c r="T16" s="316"/>
      <c r="U16" s="316"/>
      <c r="V16" s="316"/>
      <c r="W16" s="316"/>
      <c r="X16" s="316"/>
      <c r="Y16" s="317"/>
      <c r="Z16" s="647"/>
      <c r="AA16" s="647"/>
      <c r="AB16" s="647"/>
      <c r="AC16" s="647"/>
      <c r="AD16" s="647"/>
      <c r="AE16" s="647"/>
      <c r="AF16" s="647"/>
      <c r="AG16" s="673"/>
      <c r="AH16" s="673"/>
      <c r="AI16" s="673"/>
      <c r="AJ16" s="673"/>
      <c r="AK16" s="673"/>
    </row>
    <row r="17" spans="1:39" ht="36" customHeight="1">
      <c r="A17" s="656"/>
      <c r="B17" s="665"/>
      <c r="C17" s="600">
        <v>15</v>
      </c>
      <c r="D17" s="601" t="s">
        <v>79</v>
      </c>
      <c r="E17" s="59" t="s">
        <v>246</v>
      </c>
      <c r="F17" s="60">
        <v>0.9</v>
      </c>
      <c r="G17" s="59" t="s">
        <v>77</v>
      </c>
      <c r="H17" s="59" t="s">
        <v>71</v>
      </c>
      <c r="I17" s="59" t="s">
        <v>80</v>
      </c>
      <c r="J17" s="59" t="s">
        <v>77</v>
      </c>
      <c r="K17" s="51" t="s">
        <v>81</v>
      </c>
      <c r="L17" s="51" t="s">
        <v>297</v>
      </c>
      <c r="M17" s="66" t="s">
        <v>74</v>
      </c>
      <c r="N17" s="315">
        <f>+'Rotacion de Cartera.'!C20</f>
        <v>0.9</v>
      </c>
      <c r="O17" s="316">
        <f>+'Rotacion de Cartera.'!D20</f>
        <v>0.9</v>
      </c>
      <c r="P17" s="316">
        <f>+'Rotacion de Cartera.'!E20</f>
        <v>0.9</v>
      </c>
      <c r="Q17" s="316">
        <f>+'Rotacion de Cartera.'!F20</f>
        <v>0.9</v>
      </c>
      <c r="R17" s="316">
        <f>+'Rotacion de Cartera.'!G20</f>
        <v>0.9</v>
      </c>
      <c r="S17" s="316">
        <f>+'Rotacion de Cartera.'!H20</f>
        <v>0.9</v>
      </c>
      <c r="T17" s="316">
        <f>+'Rotacion de Cartera.'!I20</f>
        <v>0.9</v>
      </c>
      <c r="U17" s="316"/>
      <c r="V17" s="316"/>
      <c r="W17" s="316"/>
      <c r="X17" s="316"/>
      <c r="Y17" s="316"/>
      <c r="Z17" s="647"/>
      <c r="AA17" s="647"/>
      <c r="AB17" s="647"/>
      <c r="AC17" s="647"/>
      <c r="AD17" s="647"/>
      <c r="AE17" s="647"/>
      <c r="AF17" s="647"/>
      <c r="AG17" s="673"/>
      <c r="AH17" s="673"/>
      <c r="AI17" s="673"/>
      <c r="AJ17" s="673"/>
      <c r="AK17" s="673"/>
    </row>
    <row r="18" spans="1:39" ht="36" customHeight="1">
      <c r="A18" s="656"/>
      <c r="B18" s="665"/>
      <c r="C18" s="600">
        <v>16</v>
      </c>
      <c r="D18" s="603" t="s">
        <v>237</v>
      </c>
      <c r="E18" s="59" t="s">
        <v>236</v>
      </c>
      <c r="F18" s="60">
        <v>0.95</v>
      </c>
      <c r="G18" s="59" t="s">
        <v>34</v>
      </c>
      <c r="H18" s="59" t="s">
        <v>71</v>
      </c>
      <c r="I18" s="59" t="s">
        <v>240</v>
      </c>
      <c r="J18" s="59" t="s">
        <v>34</v>
      </c>
      <c r="K18" s="51" t="s">
        <v>255</v>
      </c>
      <c r="L18" s="51" t="s">
        <v>297</v>
      </c>
      <c r="M18" s="66" t="s">
        <v>74</v>
      </c>
      <c r="N18" s="315">
        <f>+'Eficiencia-recaudo Acued 2022'!C23</f>
        <v>0.96534453136488307</v>
      </c>
      <c r="O18" s="316">
        <f>+'Eficiencia-recaudo Acued 2022'!D23</f>
        <v>0.96572959271518033</v>
      </c>
      <c r="P18" s="316">
        <f>+'Eficiencia-recaudo Acued 2022'!E23</f>
        <v>0.98059569787681355</v>
      </c>
      <c r="Q18" s="316">
        <f>+'Eficiencia-recaudo Acued 2022'!F23</f>
        <v>0.98121713149811374</v>
      </c>
      <c r="R18" s="316">
        <f>+'Eficiencia-recaudo Acued 2022'!G23</f>
        <v>0.98461105767835355</v>
      </c>
      <c r="S18" s="316">
        <f>+'Eficiencia-recaudo Acued 2022'!H23</f>
        <v>0.97325211622035401</v>
      </c>
      <c r="T18" s="316">
        <f>+'Eficiencia-recaudo Acued 2022'!I23</f>
        <v>0.97863946614393849</v>
      </c>
      <c r="U18" s="316"/>
      <c r="V18" s="316"/>
      <c r="W18" s="316"/>
      <c r="X18" s="316"/>
      <c r="Y18" s="316"/>
      <c r="Z18" s="647"/>
      <c r="AA18" s="647"/>
      <c r="AB18" s="647"/>
      <c r="AC18" s="647"/>
      <c r="AD18" s="647"/>
      <c r="AE18" s="647"/>
      <c r="AF18" s="647"/>
      <c r="AG18" s="673"/>
      <c r="AH18" s="673"/>
      <c r="AI18" s="673"/>
      <c r="AJ18" s="673"/>
      <c r="AK18" s="673"/>
    </row>
    <row r="19" spans="1:39" ht="36" customHeight="1" thickBot="1">
      <c r="A19" s="656"/>
      <c r="B19" s="666"/>
      <c r="C19" s="600">
        <v>17</v>
      </c>
      <c r="D19" s="603" t="s">
        <v>238</v>
      </c>
      <c r="E19" s="59" t="s">
        <v>239</v>
      </c>
      <c r="F19" s="60">
        <v>0.95</v>
      </c>
      <c r="G19" s="59" t="s">
        <v>34</v>
      </c>
      <c r="H19" s="59" t="s">
        <v>71</v>
      </c>
      <c r="I19" s="59" t="s">
        <v>240</v>
      </c>
      <c r="J19" s="59" t="s">
        <v>34</v>
      </c>
      <c r="K19" s="51" t="s">
        <v>254</v>
      </c>
      <c r="L19" s="51" t="s">
        <v>297</v>
      </c>
      <c r="M19" s="66" t="s">
        <v>74</v>
      </c>
      <c r="N19" s="527">
        <f>+'Eficiencia-recuado Alcan 2022'!C23</f>
        <v>0.96579624366531314</v>
      </c>
      <c r="O19" s="528">
        <f>+'Eficiencia-recuado Alcan 2022'!D23</f>
        <v>0.96011802179744921</v>
      </c>
      <c r="P19" s="528">
        <f>+'Eficiencia-recuado Alcan 2022'!E23</f>
        <v>0.98041790015218544</v>
      </c>
      <c r="Q19" s="528">
        <f>+'Eficiencia-recuado Alcan 2022'!F23</f>
        <v>0.97797709441512115</v>
      </c>
      <c r="R19" s="528">
        <f>+'Eficiencia-recuado Alcan 2022'!G23</f>
        <v>0.98384016848071165</v>
      </c>
      <c r="S19" s="528">
        <f>+'Eficiencia-recuado Alcan 2022'!H23</f>
        <v>0.96491240547518242</v>
      </c>
      <c r="T19" s="528">
        <f>+'Eficiencia-recuado Alcan 2022'!I23</f>
        <v>0.97553724160008415</v>
      </c>
      <c r="U19" s="528"/>
      <c r="V19" s="528"/>
      <c r="W19" s="528"/>
      <c r="X19" s="528"/>
      <c r="Y19" s="528"/>
      <c r="Z19" s="647"/>
      <c r="AA19" s="647"/>
      <c r="AB19" s="647"/>
      <c r="AC19" s="647"/>
      <c r="AD19" s="647"/>
      <c r="AE19" s="647"/>
      <c r="AF19" s="647"/>
      <c r="AG19" s="673"/>
      <c r="AH19" s="673"/>
      <c r="AI19" s="673"/>
      <c r="AJ19" s="673"/>
      <c r="AK19" s="673"/>
    </row>
    <row r="20" spans="1:39" ht="66.75" thickBot="1">
      <c r="A20" s="656"/>
      <c r="B20" s="670" t="s">
        <v>624</v>
      </c>
      <c r="C20" s="598">
        <v>18</v>
      </c>
      <c r="D20" s="599" t="s">
        <v>82</v>
      </c>
      <c r="E20" s="59" t="s">
        <v>83</v>
      </c>
      <c r="F20" s="59" t="s">
        <v>47</v>
      </c>
      <c r="G20" s="59" t="s">
        <v>15</v>
      </c>
      <c r="H20" s="59" t="s">
        <v>84</v>
      </c>
      <c r="I20" s="59" t="s">
        <v>85</v>
      </c>
      <c r="J20" s="59" t="s">
        <v>34</v>
      </c>
      <c r="K20" s="51" t="s">
        <v>256</v>
      </c>
      <c r="L20" s="51" t="s">
        <v>297</v>
      </c>
      <c r="M20" s="66" t="s">
        <v>74</v>
      </c>
      <c r="N20" s="315">
        <f>+'Cumplimiento Capacitaciones'!C20</f>
        <v>1</v>
      </c>
      <c r="O20" s="316">
        <f>+'Cumplimiento Capacitaciones'!D20</f>
        <v>1</v>
      </c>
      <c r="P20" s="316">
        <f>+'Cumplimiento Capacitaciones'!E20</f>
        <v>1</v>
      </c>
      <c r="Q20" s="316">
        <f>+'Cumplimiento Capacitaciones'!F20</f>
        <v>1</v>
      </c>
      <c r="R20" s="316">
        <f>+'Cumplimiento Capacitaciones'!G20</f>
        <v>1</v>
      </c>
      <c r="S20" s="316">
        <f>+'Cumplimiento Capacitaciones'!H20</f>
        <v>1</v>
      </c>
      <c r="T20" s="316">
        <f>+'Cumplimiento Capacitaciones'!I20</f>
        <v>1</v>
      </c>
      <c r="U20" s="316"/>
      <c r="V20" s="316"/>
      <c r="W20" s="316"/>
      <c r="X20" s="316"/>
      <c r="Y20" s="316"/>
      <c r="Z20" s="537">
        <f>AVERAGE(N20:N22)</f>
        <v>0.79333333333333333</v>
      </c>
      <c r="AA20" s="521">
        <f t="shared" ref="AA20:AF20" si="3">AVERAGE(O20:O22)</f>
        <v>0.82333333333333325</v>
      </c>
      <c r="AB20" s="521">
        <f t="shared" si="3"/>
        <v>0.97000000000000008</v>
      </c>
      <c r="AC20" s="521">
        <f t="shared" si="3"/>
        <v>0.81</v>
      </c>
      <c r="AD20" s="521">
        <f>AVERAGE(R20:R22)</f>
        <v>1</v>
      </c>
      <c r="AE20" s="521">
        <f t="shared" si="3"/>
        <v>1</v>
      </c>
      <c r="AF20" s="521">
        <f t="shared" si="3"/>
        <v>1</v>
      </c>
      <c r="AG20" s="521"/>
      <c r="AH20" s="521"/>
      <c r="AI20" s="521"/>
      <c r="AJ20" s="521"/>
      <c r="AK20" s="521"/>
      <c r="AL20" s="536">
        <f>AVERAGE(Z20:AK20)</f>
        <v>0.91380952380952374</v>
      </c>
      <c r="AM20" s="531" t="str">
        <f>+B20</f>
        <v>Identificar los peligros evaluar y valorar los riesgos y establecer los controles</v>
      </c>
    </row>
    <row r="21" spans="1:39" ht="90" customHeight="1">
      <c r="A21" s="656"/>
      <c r="B21" s="671"/>
      <c r="C21" s="598">
        <v>19</v>
      </c>
      <c r="D21" s="599" t="s">
        <v>517</v>
      </c>
      <c r="E21" s="59" t="s">
        <v>504</v>
      </c>
      <c r="F21" s="59" t="s">
        <v>518</v>
      </c>
      <c r="G21" s="59" t="s">
        <v>15</v>
      </c>
      <c r="H21" s="59" t="s">
        <v>84</v>
      </c>
      <c r="I21" s="59" t="s">
        <v>519</v>
      </c>
      <c r="J21" s="59" t="s">
        <v>15</v>
      </c>
      <c r="K21" s="51" t="s">
        <v>520</v>
      </c>
      <c r="L21" s="51" t="s">
        <v>86</v>
      </c>
      <c r="M21" s="65" t="s">
        <v>87</v>
      </c>
      <c r="N21" s="119">
        <f>+'Enfermedad Laboral'!C20</f>
        <v>1</v>
      </c>
      <c r="O21" s="455">
        <f>+'Enfermedad Laboral'!D20</f>
        <v>1</v>
      </c>
      <c r="P21" s="455">
        <f>+'Enfermedad Laboral'!E20</f>
        <v>1</v>
      </c>
      <c r="Q21" s="455">
        <f>+'Enfermedad Laboral'!F20</f>
        <v>1</v>
      </c>
      <c r="R21" s="455">
        <f>+'Enfermedad Laboral'!G20</f>
        <v>1</v>
      </c>
      <c r="S21" s="455">
        <f>+'Enfermedad Laboral'!H20</f>
        <v>1</v>
      </c>
      <c r="T21" s="455">
        <f>+'Enfermedad Laboral'!I20</f>
        <v>1</v>
      </c>
      <c r="U21" s="455"/>
      <c r="V21" s="455"/>
      <c r="W21" s="455"/>
      <c r="X21" s="455"/>
      <c r="Y21" s="455"/>
      <c r="Z21" s="538"/>
      <c r="AA21" s="522"/>
      <c r="AB21" s="522"/>
      <c r="AC21" s="522"/>
      <c r="AD21" s="522"/>
      <c r="AE21" s="522"/>
      <c r="AF21" s="522"/>
      <c r="AG21" s="522"/>
      <c r="AH21" s="522"/>
      <c r="AI21" s="522"/>
      <c r="AJ21" s="522"/>
      <c r="AK21" s="524"/>
      <c r="AL21" s="87"/>
    </row>
    <row r="22" spans="1:39" ht="80.25" customHeight="1" thickBot="1">
      <c r="A22" s="656"/>
      <c r="B22" s="672"/>
      <c r="C22" s="598">
        <v>20</v>
      </c>
      <c r="D22" s="599" t="s">
        <v>498</v>
      </c>
      <c r="E22" s="59" t="s">
        <v>524</v>
      </c>
      <c r="F22" s="59" t="s">
        <v>523</v>
      </c>
      <c r="G22" s="59" t="s">
        <v>15</v>
      </c>
      <c r="H22" s="59" t="s">
        <v>84</v>
      </c>
      <c r="I22" s="59" t="s">
        <v>96</v>
      </c>
      <c r="J22" s="59" t="s">
        <v>15</v>
      </c>
      <c r="K22" s="51" t="s">
        <v>526</v>
      </c>
      <c r="L22" s="51" t="s">
        <v>86</v>
      </c>
      <c r="M22" s="65" t="s">
        <v>87</v>
      </c>
      <c r="N22" s="299">
        <f>+'Ausentismo laboral'!C20</f>
        <v>0.38</v>
      </c>
      <c r="O22" s="526">
        <f>+'Ausentismo laboral'!D20</f>
        <v>0.47</v>
      </c>
      <c r="P22" s="526">
        <f>+'Ausentismo laboral'!E20</f>
        <v>0.91</v>
      </c>
      <c r="Q22" s="526">
        <f>+'Ausentismo laboral'!F20</f>
        <v>0.43</v>
      </c>
      <c r="R22" s="526">
        <f>+'Ausentismo laboral'!G20</f>
        <v>1</v>
      </c>
      <c r="S22" s="526">
        <f>+'Ausentismo laboral'!H20</f>
        <v>1</v>
      </c>
      <c r="T22" s="526">
        <f>+'Ausentismo laboral'!I20</f>
        <v>1</v>
      </c>
      <c r="U22" s="526"/>
      <c r="V22" s="526"/>
      <c r="W22" s="526"/>
      <c r="X22" s="526"/>
      <c r="Y22" s="526"/>
      <c r="Z22" s="539"/>
      <c r="AA22" s="523"/>
      <c r="AB22" s="523"/>
      <c r="AC22" s="523"/>
      <c r="AD22" s="523"/>
      <c r="AE22" s="523"/>
      <c r="AF22" s="523"/>
      <c r="AG22" s="523"/>
      <c r="AH22" s="523"/>
      <c r="AI22" s="523"/>
      <c r="AJ22" s="523"/>
      <c r="AK22" s="525"/>
      <c r="AL22" s="87"/>
    </row>
    <row r="23" spans="1:39" ht="149.25" thickBot="1">
      <c r="A23" s="656"/>
      <c r="B23" s="661" t="s">
        <v>713</v>
      </c>
      <c r="C23" s="604">
        <v>21</v>
      </c>
      <c r="D23" s="605" t="s">
        <v>88</v>
      </c>
      <c r="E23" s="59" t="s">
        <v>89</v>
      </c>
      <c r="F23" s="59" t="s">
        <v>90</v>
      </c>
      <c r="G23" s="59" t="s">
        <v>15</v>
      </c>
      <c r="H23" s="59" t="s">
        <v>84</v>
      </c>
      <c r="I23" s="59" t="s">
        <v>91</v>
      </c>
      <c r="J23" s="59" t="s">
        <v>15</v>
      </c>
      <c r="K23" s="51" t="s">
        <v>92</v>
      </c>
      <c r="L23" s="51" t="s">
        <v>86</v>
      </c>
      <c r="M23" s="65" t="s">
        <v>87</v>
      </c>
      <c r="N23" s="313">
        <f>+'Tasa de Accidentalidad '!C20</f>
        <v>1</v>
      </c>
      <c r="O23" s="314">
        <f>+'Tasa de Accidentalidad '!D20</f>
        <v>1</v>
      </c>
      <c r="P23" s="314">
        <f>+'Tasa de Accidentalidad '!E20</f>
        <v>1</v>
      </c>
      <c r="Q23" s="314">
        <f>+'Tasa de Accidentalidad '!F20</f>
        <v>1</v>
      </c>
      <c r="R23" s="314">
        <f>+'Tasa de Accidentalidad '!G20</f>
        <v>1</v>
      </c>
      <c r="S23" s="314">
        <f>+'Tasa de Accidentalidad '!H20</f>
        <v>1</v>
      </c>
      <c r="T23" s="314">
        <f>+'Tasa de Accidentalidad '!I20</f>
        <v>1</v>
      </c>
      <c r="U23" s="314"/>
      <c r="V23" s="314"/>
      <c r="W23" s="314"/>
      <c r="X23" s="314"/>
      <c r="Y23" s="615"/>
      <c r="Z23" s="650">
        <f>AVERAGE(N23:N27)</f>
        <v>1</v>
      </c>
      <c r="AA23" s="653">
        <f t="shared" ref="AA23:AF23" si="4">AVERAGE(O23:O27)</f>
        <v>1</v>
      </c>
      <c r="AB23" s="653">
        <f t="shared" si="4"/>
        <v>1</v>
      </c>
      <c r="AC23" s="653">
        <f t="shared" si="4"/>
        <v>1</v>
      </c>
      <c r="AD23" s="653">
        <f t="shared" si="4"/>
        <v>1</v>
      </c>
      <c r="AE23" s="653">
        <f t="shared" si="4"/>
        <v>1</v>
      </c>
      <c r="AF23" s="653">
        <f t="shared" si="4"/>
        <v>1</v>
      </c>
      <c r="AG23" s="653"/>
      <c r="AH23" s="653"/>
      <c r="AI23" s="653"/>
      <c r="AJ23" s="653"/>
      <c r="AK23" s="680"/>
      <c r="AL23" s="536">
        <f>AVERAGE(Z23:AK27)</f>
        <v>1</v>
      </c>
      <c r="AM23" s="531" t="str">
        <f>+B23</f>
        <v>Promover el bienestar, la salud y seguridad de sus trabajadores y contratista.</v>
      </c>
    </row>
    <row r="24" spans="1:39" ht="165">
      <c r="A24" s="656"/>
      <c r="B24" s="662"/>
      <c r="C24" s="606">
        <v>22</v>
      </c>
      <c r="D24" s="607" t="s">
        <v>93</v>
      </c>
      <c r="E24" s="62" t="s">
        <v>94</v>
      </c>
      <c r="F24" s="62" t="s">
        <v>95</v>
      </c>
      <c r="G24" s="62" t="s">
        <v>15</v>
      </c>
      <c r="H24" s="62" t="s">
        <v>84</v>
      </c>
      <c r="I24" s="62" t="s">
        <v>96</v>
      </c>
      <c r="J24" s="62" t="s">
        <v>15</v>
      </c>
      <c r="K24" s="55" t="s">
        <v>97</v>
      </c>
      <c r="L24" s="55" t="s">
        <v>86</v>
      </c>
      <c r="M24" s="65" t="s">
        <v>98</v>
      </c>
      <c r="N24" s="119" t="str">
        <f>+'Indice de Severidad'!C20</f>
        <v>100%</v>
      </c>
      <c r="O24" s="455" t="str">
        <f>+'Indice de Severidad'!D20</f>
        <v>100%</v>
      </c>
      <c r="P24" s="455" t="str">
        <f>+'Indice de Severidad'!E20</f>
        <v>100%</v>
      </c>
      <c r="Q24" s="455" t="str">
        <f>+'Indice de Severidad'!F20</f>
        <v>100%</v>
      </c>
      <c r="R24" s="455" t="str">
        <f>+'Indice de Severidad'!G20</f>
        <v>100%</v>
      </c>
      <c r="S24" s="455" t="str">
        <f>+'Indice de Severidad'!H20</f>
        <v>100%</v>
      </c>
      <c r="T24" s="455" t="str">
        <f>+'Indice de Severidad'!I20</f>
        <v>100%</v>
      </c>
      <c r="U24" s="455"/>
      <c r="V24" s="455"/>
      <c r="W24" s="455"/>
      <c r="X24" s="455"/>
      <c r="Y24" s="550"/>
      <c r="Z24" s="651"/>
      <c r="AA24" s="654"/>
      <c r="AB24" s="654"/>
      <c r="AC24" s="654"/>
      <c r="AD24" s="654"/>
      <c r="AE24" s="654"/>
      <c r="AF24" s="654"/>
      <c r="AG24" s="654"/>
      <c r="AH24" s="654"/>
      <c r="AI24" s="654"/>
      <c r="AJ24" s="654"/>
      <c r="AK24" s="681"/>
    </row>
    <row r="25" spans="1:39" ht="165">
      <c r="A25" s="656"/>
      <c r="B25" s="662"/>
      <c r="C25" s="604">
        <v>23</v>
      </c>
      <c r="D25" s="607" t="s">
        <v>99</v>
      </c>
      <c r="E25" s="62" t="s">
        <v>100</v>
      </c>
      <c r="F25" s="62" t="s">
        <v>101</v>
      </c>
      <c r="G25" s="62" t="s">
        <v>15</v>
      </c>
      <c r="H25" s="62" t="s">
        <v>84</v>
      </c>
      <c r="I25" s="62" t="s">
        <v>91</v>
      </c>
      <c r="J25" s="62" t="s">
        <v>15</v>
      </c>
      <c r="K25" s="51" t="s">
        <v>102</v>
      </c>
      <c r="L25" s="55" t="s">
        <v>86</v>
      </c>
      <c r="M25" s="65" t="s">
        <v>98</v>
      </c>
      <c r="N25" s="119">
        <f>+'Indice de Frecuencia'!C20</f>
        <v>1</v>
      </c>
      <c r="O25" s="455">
        <f>+'Indice de Frecuencia'!D20</f>
        <v>1</v>
      </c>
      <c r="P25" s="455">
        <f>+'Indice de Frecuencia'!E20</f>
        <v>1</v>
      </c>
      <c r="Q25" s="455">
        <f>+'Indice de Frecuencia'!F20</f>
        <v>1</v>
      </c>
      <c r="R25" s="455">
        <f>+'Indice de Frecuencia'!G20</f>
        <v>1</v>
      </c>
      <c r="S25" s="455">
        <f>+'Indice de Frecuencia'!H20</f>
        <v>1</v>
      </c>
      <c r="T25" s="455">
        <f>+'Indice de Frecuencia'!I20</f>
        <v>1</v>
      </c>
      <c r="U25" s="455"/>
      <c r="V25" s="455"/>
      <c r="W25" s="455"/>
      <c r="X25" s="455"/>
      <c r="Y25" s="550"/>
      <c r="Z25" s="651"/>
      <c r="AA25" s="654"/>
      <c r="AB25" s="654"/>
      <c r="AC25" s="654"/>
      <c r="AD25" s="654"/>
      <c r="AE25" s="654"/>
      <c r="AF25" s="654"/>
      <c r="AG25" s="654"/>
      <c r="AH25" s="654"/>
      <c r="AI25" s="654"/>
      <c r="AJ25" s="654"/>
      <c r="AK25" s="681"/>
    </row>
    <row r="26" spans="1:39" ht="66">
      <c r="A26" s="656"/>
      <c r="B26" s="662"/>
      <c r="C26" s="606">
        <v>24</v>
      </c>
      <c r="D26" s="607" t="s">
        <v>103</v>
      </c>
      <c r="E26" s="62" t="s">
        <v>104</v>
      </c>
      <c r="F26" s="62" t="s">
        <v>105</v>
      </c>
      <c r="G26" s="62" t="s">
        <v>15</v>
      </c>
      <c r="H26" s="62" t="s">
        <v>84</v>
      </c>
      <c r="I26" s="62" t="s">
        <v>106</v>
      </c>
      <c r="J26" s="62" t="s">
        <v>15</v>
      </c>
      <c r="K26" s="55" t="s">
        <v>107</v>
      </c>
      <c r="L26" s="55" t="s">
        <v>86</v>
      </c>
      <c r="M26" s="65" t="s">
        <v>98</v>
      </c>
      <c r="N26" s="119">
        <f>+'Indice de Lesiones Incapacitant'!C42</f>
        <v>1</v>
      </c>
      <c r="O26" s="455">
        <f>+'Indice de Lesiones Incapacitant'!D42</f>
        <v>1</v>
      </c>
      <c r="P26" s="455">
        <f>+'Indice de Lesiones Incapacitant'!E42</f>
        <v>1</v>
      </c>
      <c r="Q26" s="455">
        <f>+'Indice de Lesiones Incapacitant'!F42</f>
        <v>1</v>
      </c>
      <c r="R26" s="455">
        <f>+'Indice de Lesiones Incapacitant'!G42</f>
        <v>1</v>
      </c>
      <c r="S26" s="522">
        <f>+'Indice de Lesiones Incapacitant'!H42</f>
        <v>1</v>
      </c>
      <c r="T26" s="522">
        <f>+'Indice de Lesiones Incapacitant'!I42</f>
        <v>1</v>
      </c>
      <c r="U26" s="522"/>
      <c r="V26" s="522"/>
      <c r="W26" s="522"/>
      <c r="X26" s="522"/>
      <c r="Y26" s="524"/>
      <c r="Z26" s="651"/>
      <c r="AA26" s="654"/>
      <c r="AB26" s="654"/>
      <c r="AC26" s="654"/>
      <c r="AD26" s="654"/>
      <c r="AE26" s="654"/>
      <c r="AF26" s="654"/>
      <c r="AG26" s="654"/>
      <c r="AH26" s="654"/>
      <c r="AI26" s="654"/>
      <c r="AJ26" s="654"/>
      <c r="AK26" s="681"/>
    </row>
    <row r="27" spans="1:39" ht="33.75" thickBot="1">
      <c r="A27" s="657"/>
      <c r="B27" s="663"/>
      <c r="C27" s="604">
        <v>25</v>
      </c>
      <c r="D27" s="608" t="s">
        <v>108</v>
      </c>
      <c r="E27" s="63" t="s">
        <v>109</v>
      </c>
      <c r="F27" s="63" t="s">
        <v>110</v>
      </c>
      <c r="G27" s="63" t="s">
        <v>15</v>
      </c>
      <c r="H27" s="63" t="s">
        <v>84</v>
      </c>
      <c r="I27" s="63" t="s">
        <v>111</v>
      </c>
      <c r="J27" s="63" t="s">
        <v>15</v>
      </c>
      <c r="K27" s="56" t="s">
        <v>112</v>
      </c>
      <c r="L27" s="56" t="s">
        <v>86</v>
      </c>
      <c r="M27" s="65" t="s">
        <v>98</v>
      </c>
      <c r="N27" s="299">
        <f>+'Cantidad de Incidentes'!C44</f>
        <v>1</v>
      </c>
      <c r="O27" s="526">
        <f>+'Cantidad de Incidentes'!D44</f>
        <v>1</v>
      </c>
      <c r="P27" s="526">
        <f>+'Cantidad de Incidentes'!E44</f>
        <v>1</v>
      </c>
      <c r="Q27" s="526">
        <f>+'Cantidad de Incidentes'!F44</f>
        <v>1</v>
      </c>
      <c r="R27" s="526">
        <f>+'Cantidad de Incidentes'!G44</f>
        <v>1</v>
      </c>
      <c r="S27" s="526">
        <f>+'Cantidad de Incidentes'!H44</f>
        <v>1</v>
      </c>
      <c r="T27" s="526">
        <f>+'Cantidad de Incidentes'!I44</f>
        <v>1</v>
      </c>
      <c r="U27" s="526"/>
      <c r="V27" s="526"/>
      <c r="W27" s="526"/>
      <c r="X27" s="526"/>
      <c r="Y27" s="549"/>
      <c r="Z27" s="652"/>
      <c r="AA27" s="655"/>
      <c r="AB27" s="655"/>
      <c r="AC27" s="655"/>
      <c r="AD27" s="655"/>
      <c r="AE27" s="655"/>
      <c r="AF27" s="655"/>
      <c r="AG27" s="655"/>
      <c r="AH27" s="655"/>
      <c r="AI27" s="655"/>
      <c r="AJ27" s="655"/>
      <c r="AK27" s="682"/>
    </row>
    <row r="29" spans="1:39" ht="17.25" thickBot="1"/>
    <row r="30" spans="1:39" ht="17.25" thickBot="1">
      <c r="F30"/>
      <c r="L30" s="84" t="s">
        <v>293</v>
      </c>
      <c r="N30" s="88">
        <f t="shared" ref="N30:Y30" si="5">AVERAGE(N3:N27)</f>
        <v>0.95004381575499397</v>
      </c>
      <c r="O30" s="88">
        <f t="shared" si="5"/>
        <v>0.95408223413388948</v>
      </c>
      <c r="P30" s="88">
        <f t="shared" si="5"/>
        <v>0.97639742027368481</v>
      </c>
      <c r="Q30" s="88">
        <f t="shared" si="5"/>
        <v>0.94910580466981431</v>
      </c>
      <c r="R30" s="88">
        <f t="shared" si="5"/>
        <v>0.97903931654919707</v>
      </c>
      <c r="S30" s="88">
        <f t="shared" si="5"/>
        <v>0.97713603737300514</v>
      </c>
      <c r="T30" s="88">
        <f t="shared" si="5"/>
        <v>0.98406826161670935</v>
      </c>
      <c r="U30" s="88" t="e">
        <f t="shared" si="5"/>
        <v>#DIV/0!</v>
      </c>
      <c r="V30" s="88" t="e">
        <f t="shared" si="5"/>
        <v>#DIV/0!</v>
      </c>
      <c r="W30" s="88" t="e">
        <f t="shared" si="5"/>
        <v>#DIV/0!</v>
      </c>
      <c r="X30" s="88" t="e">
        <f t="shared" si="5"/>
        <v>#DIV/0!</v>
      </c>
      <c r="Y30" s="88" t="e">
        <f t="shared" si="5"/>
        <v>#DIV/0!</v>
      </c>
    </row>
    <row r="33" spans="11:14" ht="33">
      <c r="L33" s="533" t="s">
        <v>626</v>
      </c>
      <c r="M33" s="533" t="s">
        <v>627</v>
      </c>
      <c r="N33" s="533" t="s">
        <v>628</v>
      </c>
    </row>
    <row r="34" spans="11:14">
      <c r="K34" s="2">
        <v>1</v>
      </c>
      <c r="L34" s="582" t="str">
        <f>+B3</f>
        <v>Cumplir con la disponibilidad del servicio</v>
      </c>
      <c r="M34" s="535">
        <f>+AL3</f>
        <v>0.95119616340623947</v>
      </c>
      <c r="N34" s="631" t="str">
        <f>+Presion!C16</f>
        <v>Agosto 23 de 2022</v>
      </c>
    </row>
    <row r="35" spans="11:14">
      <c r="K35" s="2">
        <v>2</v>
      </c>
      <c r="L35" s="582" t="str">
        <f>+B7</f>
        <v xml:space="preserve">Cumplir con los parámetros de calidad </v>
      </c>
      <c r="M35" s="535">
        <f>+AL7</f>
        <v>1</v>
      </c>
    </row>
    <row r="36" spans="11:14">
      <c r="K36" s="2">
        <v>3</v>
      </c>
      <c r="L36" s="582" t="str">
        <f>+B10</f>
        <v xml:space="preserve">Cumplimiento de requisitos legales </v>
      </c>
      <c r="M36" s="535">
        <f>AL10</f>
        <v>1</v>
      </c>
    </row>
    <row r="37" spans="11:14" ht="33">
      <c r="K37" s="2">
        <v>4</v>
      </c>
      <c r="L37" s="532" t="str">
        <f>+B11</f>
        <v>Contar con recursos humanos competentes</v>
      </c>
      <c r="M37" s="535">
        <f>+AL11</f>
        <v>0.94384057971014501</v>
      </c>
    </row>
    <row r="38" spans="11:14">
      <c r="K38" s="2">
        <v>5</v>
      </c>
      <c r="L38" s="582" t="str">
        <f>+B13</f>
        <v>Gestionar proveedores</v>
      </c>
      <c r="M38" s="535">
        <f>+AL13</f>
        <v>0.94</v>
      </c>
    </row>
    <row r="39" spans="11:14" ht="33">
      <c r="K39" s="2">
        <v>6</v>
      </c>
      <c r="L39" s="582" t="str">
        <f>+B14</f>
        <v>Brindar servicios satisfactorios para los usuarios</v>
      </c>
      <c r="M39" s="535">
        <f>+AL14</f>
        <v>0.96965681911667656</v>
      </c>
    </row>
    <row r="40" spans="11:14" ht="33">
      <c r="K40" s="2">
        <v>7</v>
      </c>
      <c r="L40" s="582" t="str">
        <f>+B20</f>
        <v>Identificar los peligros evaluar y valorar los riesgos y establecer los controles</v>
      </c>
      <c r="M40" s="535">
        <f>+AL20</f>
        <v>0.91380952380952374</v>
      </c>
    </row>
    <row r="41" spans="11:14" ht="33">
      <c r="K41" s="2">
        <v>8</v>
      </c>
      <c r="L41" s="582" t="str">
        <f>+B23</f>
        <v>Promover el bienestar, la salud y seguridad de sus trabajadores y contratista.</v>
      </c>
      <c r="M41" s="535">
        <f>+AL23</f>
        <v>1</v>
      </c>
    </row>
    <row r="42" spans="11:14">
      <c r="M42" s="534"/>
    </row>
  </sheetData>
  <mergeCells count="70">
    <mergeCell ref="AG7:AG9"/>
    <mergeCell ref="AL2:AM2"/>
    <mergeCell ref="AK7:AK9"/>
    <mergeCell ref="AJ7:AJ9"/>
    <mergeCell ref="AI7:AI9"/>
    <mergeCell ref="AH7:AH9"/>
    <mergeCell ref="AA23:AA27"/>
    <mergeCell ref="Z23:Z27"/>
    <mergeCell ref="AD7:AD9"/>
    <mergeCell ref="AC7:AC9"/>
    <mergeCell ref="AB7:AB9"/>
    <mergeCell ref="AA7:AA9"/>
    <mergeCell ref="AF23:AF27"/>
    <mergeCell ref="AE23:AE27"/>
    <mergeCell ref="AD23:AD27"/>
    <mergeCell ref="AC23:AC27"/>
    <mergeCell ref="AB23:AB27"/>
    <mergeCell ref="AK23:AK27"/>
    <mergeCell ref="AJ23:AJ27"/>
    <mergeCell ref="AI23:AI27"/>
    <mergeCell ref="AH23:AH27"/>
    <mergeCell ref="AG23:AG27"/>
    <mergeCell ref="AK11:AK12"/>
    <mergeCell ref="AG11:AG12"/>
    <mergeCell ref="AH11:AH12"/>
    <mergeCell ref="AI11:AI12"/>
    <mergeCell ref="AJ11:AJ12"/>
    <mergeCell ref="N1:Y1"/>
    <mergeCell ref="Z1:AK1"/>
    <mergeCell ref="Z3:Z6"/>
    <mergeCell ref="AA3:AA6"/>
    <mergeCell ref="AB3:AB6"/>
    <mergeCell ref="AC3:AC6"/>
    <mergeCell ref="AD3:AD6"/>
    <mergeCell ref="AE3:AE6"/>
    <mergeCell ref="AF3:AF6"/>
    <mergeCell ref="AG3:AG6"/>
    <mergeCell ref="AH3:AH6"/>
    <mergeCell ref="AI3:AI6"/>
    <mergeCell ref="AJ3:AJ6"/>
    <mergeCell ref="AK3:AK6"/>
    <mergeCell ref="AJ14:AJ19"/>
    <mergeCell ref="AK14:AK19"/>
    <mergeCell ref="Z11:Z12"/>
    <mergeCell ref="AA11:AA12"/>
    <mergeCell ref="AB11:AB12"/>
    <mergeCell ref="AC11:AC12"/>
    <mergeCell ref="AD11:AD12"/>
    <mergeCell ref="Z14:Z19"/>
    <mergeCell ref="AA14:AA19"/>
    <mergeCell ref="AB14:AB19"/>
    <mergeCell ref="AC14:AC19"/>
    <mergeCell ref="AD14:AD19"/>
    <mergeCell ref="AE14:AE19"/>
    <mergeCell ref="AG14:AG19"/>
    <mergeCell ref="AH14:AH19"/>
    <mergeCell ref="AI14:AI19"/>
    <mergeCell ref="A3:A27"/>
    <mergeCell ref="B3:B6"/>
    <mergeCell ref="B11:B12"/>
    <mergeCell ref="B23:B27"/>
    <mergeCell ref="B14:B19"/>
    <mergeCell ref="B7:B9"/>
    <mergeCell ref="B20:B22"/>
    <mergeCell ref="AF14:AF19"/>
    <mergeCell ref="AF11:AF12"/>
    <mergeCell ref="AE11:AE12"/>
    <mergeCell ref="Z7:Z9"/>
    <mergeCell ref="AF7:AF9"/>
    <mergeCell ref="AE7:AE9"/>
  </mergeCells>
  <hyperlinks>
    <hyperlink ref="D3" location="Presion!A1" display="Índice de presión del prestador" xr:uid="{00000000-0004-0000-0000-000000000000}"/>
    <hyperlink ref="D4" location="Agua!A1" display="índice de agua no contabilizada" xr:uid="{00000000-0004-0000-0000-000001000000}"/>
    <hyperlink ref="D6" location="Suspension!A1" display="Horas de suspensión suministro de agua (Indice de continuidad)" xr:uid="{00000000-0004-0000-0000-000002000000}"/>
    <hyperlink ref="D7" location="IRCA!A1" display="Cumplimiento IRCA" xr:uid="{00000000-0004-0000-0000-000004000000}"/>
    <hyperlink ref="D8" location="Parametros!A1" display="Cantidad de parámetros cumplidos Agua Potable" xr:uid="{00000000-0004-0000-0000-000005000000}"/>
    <hyperlink ref="D9" location="Aguavertida!A1" display="Cantidad de parámetros cumplidos Agua Vertida" xr:uid="{00000000-0004-0000-0000-000006000000}"/>
    <hyperlink ref="D10" location="SST!A1" display="Cumplimiento Normativo SST" xr:uid="{00000000-0004-0000-0000-000007000000}"/>
    <hyperlink ref="D11" location="Eficaciacap!A1" display="Eficacia de las capacitaciones" xr:uid="{00000000-0004-0000-0000-000008000000}"/>
    <hyperlink ref="D12" location="Cobertura!A1" display="Cobertura del programa de capacitaciones" xr:uid="{00000000-0004-0000-0000-000009000000}"/>
    <hyperlink ref="D13" location="'Desemp de Proveedores '!A1" display="Desempeño de los proveedores" xr:uid="{00000000-0004-0000-0000-00000A000000}"/>
    <hyperlink ref="D14" location="'IRSAL 2021'!A1" display="Reclamaciones de los usuarios Alcantarillado (IARAL)" xr:uid="{00000000-0004-0000-0000-00000B000000}"/>
    <hyperlink ref="D15" location="IARA!A1" display="Reclamaciones de los Suscriptores Acueducto (IARA)" xr:uid="{00000000-0004-0000-0000-00000C000000}"/>
    <hyperlink ref="D16" location="'Encuestas de satisfacción'!A1" display="Encuestas de satisfacción de los usuarios" xr:uid="{00000000-0004-0000-0000-00000D000000}"/>
    <hyperlink ref="D17" location="'Rotacion de Cartera'!Área_de_impresión" display="Rotacion de cartera" xr:uid="{00000000-0004-0000-0000-00000E000000}"/>
    <hyperlink ref="D23" location="'Accidentalidad '!A1" display="Accidentalidad" xr:uid="{00000000-0004-0000-0000-00000F000000}"/>
    <hyperlink ref="D24" location="'Indice de Severidad'!A1" display="IS" xr:uid="{00000000-0004-0000-0000-000010000000}"/>
    <hyperlink ref="D25" location="'Indice de Frecuencia'!A1" display="IF" xr:uid="{00000000-0004-0000-0000-000011000000}"/>
    <hyperlink ref="D26" location="'Indice de Lesiones Incapacitant'!A1" display="ILI" xr:uid="{00000000-0004-0000-0000-000012000000}"/>
    <hyperlink ref="D27" location="'Cantidad de Incidentes'!A1" display="Cantidad de incidentes" xr:uid="{00000000-0004-0000-0000-000013000000}"/>
    <hyperlink ref="D20" location="'Cumplimiento Capacitaciones'!Área_de_impresión" display="Cumplimiento de las actividades " xr:uid="{00000000-0004-0000-0000-000014000000}"/>
    <hyperlink ref="D18" location="ERACU!Área_de_impresión" display="Eficiencia De Recaudo Acueducto " xr:uid="{00000000-0004-0000-0000-000015000000}"/>
    <hyperlink ref="D19" location="ERALCA!Área_de_impresión" display="Eficiencia De Recaudo Alcantarillado " xr:uid="{00000000-0004-0000-0000-000016000000}"/>
    <hyperlink ref="D21" location="'Enfermedad Laboral'!Área_de_impresión" display="Incidencia de enfermedad laboral" xr:uid="{DE16CBB8-58A4-4B26-9484-B803CC2B5460}"/>
    <hyperlink ref="D22" location="'Ausentismo laboral'!Área_de_impresión" display="Ausentismo Laboral por causa medica " xr:uid="{37B3C3B7-9407-473E-B4CA-B38CBA230D72}"/>
  </hyperlink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9BA46-D8D9-46E7-8A3A-AF983FB2BC28}">
  <sheetPr>
    <tabColor rgb="FFFFFF00"/>
    <pageSetUpPr fitToPage="1"/>
  </sheetPr>
  <dimension ref="A1:Q45"/>
  <sheetViews>
    <sheetView view="pageBreakPreview" topLeftCell="B34" zoomScale="110" zoomScaleNormal="100" zoomScaleSheetLayoutView="110" workbookViewId="0">
      <selection sqref="A1:J4"/>
    </sheetView>
  </sheetViews>
  <sheetFormatPr baseColWidth="10" defaultColWidth="11.42578125" defaultRowHeight="16.5"/>
  <cols>
    <col min="1" max="1" width="7.42578125" style="5" customWidth="1"/>
    <col min="2" max="2" width="33.5703125" style="5" customWidth="1"/>
    <col min="3" max="14" width="7.140625" style="4" customWidth="1"/>
    <col min="15" max="15" width="7.42578125" style="4" customWidth="1"/>
    <col min="16" max="16" width="8.5703125" style="4" customWidth="1"/>
    <col min="17" max="16384" width="11.42578125" style="4"/>
  </cols>
  <sheetData>
    <row r="1" spans="1:17" ht="21.75" customHeight="1">
      <c r="A1" s="719" t="s">
        <v>113</v>
      </c>
      <c r="B1" s="720"/>
      <c r="C1" s="720"/>
      <c r="D1" s="720"/>
      <c r="E1" s="720"/>
      <c r="F1" s="720"/>
      <c r="G1" s="720"/>
      <c r="H1" s="720"/>
      <c r="I1" s="720"/>
      <c r="J1" s="721"/>
      <c r="K1" s="728" t="s">
        <v>114</v>
      </c>
      <c r="L1" s="729"/>
      <c r="M1" s="728"/>
      <c r="N1" s="729"/>
    </row>
    <row r="2" spans="1:17" ht="21.75" customHeight="1">
      <c r="A2" s="722"/>
      <c r="B2" s="723"/>
      <c r="C2" s="723"/>
      <c r="D2" s="723"/>
      <c r="E2" s="723"/>
      <c r="F2" s="723"/>
      <c r="G2" s="723"/>
      <c r="H2" s="723"/>
      <c r="I2" s="723"/>
      <c r="J2" s="724"/>
      <c r="K2" s="728" t="s">
        <v>115</v>
      </c>
      <c r="L2" s="729"/>
      <c r="M2" s="728">
        <v>1</v>
      </c>
      <c r="N2" s="729"/>
    </row>
    <row r="3" spans="1:17" ht="21.75" customHeight="1">
      <c r="A3" s="722"/>
      <c r="B3" s="723"/>
      <c r="C3" s="723"/>
      <c r="D3" s="723"/>
      <c r="E3" s="723"/>
      <c r="F3" s="723"/>
      <c r="G3" s="723"/>
      <c r="H3" s="723"/>
      <c r="I3" s="723"/>
      <c r="J3" s="724"/>
      <c r="K3" s="728" t="s">
        <v>116</v>
      </c>
      <c r="L3" s="729"/>
      <c r="M3" s="730">
        <v>43464</v>
      </c>
      <c r="N3" s="731"/>
    </row>
    <row r="4" spans="1:17" ht="21.75" customHeight="1">
      <c r="A4" s="725"/>
      <c r="B4" s="726"/>
      <c r="C4" s="726"/>
      <c r="D4" s="726"/>
      <c r="E4" s="726"/>
      <c r="F4" s="726"/>
      <c r="G4" s="726"/>
      <c r="H4" s="726"/>
      <c r="I4" s="726"/>
      <c r="J4" s="727"/>
      <c r="K4" s="728" t="s">
        <v>117</v>
      </c>
      <c r="L4" s="729"/>
      <c r="M4" s="732" t="s">
        <v>118</v>
      </c>
      <c r="N4" s="733"/>
    </row>
    <row r="5" spans="1:17" ht="27.75" customHeight="1">
      <c r="M5" s="6"/>
      <c r="N5" s="7"/>
      <c r="O5" s="52" t="s">
        <v>120</v>
      </c>
    </row>
    <row r="6" spans="1:17" ht="17.25" customHeight="1">
      <c r="A6" s="5" t="s">
        <v>121</v>
      </c>
      <c r="C6" s="734" t="s">
        <v>700</v>
      </c>
      <c r="D6" s="734"/>
      <c r="E6" s="734"/>
      <c r="F6" s="734"/>
      <c r="G6" s="734"/>
      <c r="H6" s="734"/>
      <c r="I6" s="734"/>
      <c r="J6" s="734"/>
      <c r="K6" s="734"/>
      <c r="L6" s="734"/>
      <c r="M6" s="734"/>
      <c r="N6" s="734"/>
      <c r="Q6" s="52" t="s">
        <v>120</v>
      </c>
    </row>
    <row r="7" spans="1:17" ht="17.25" customHeight="1">
      <c r="A7" s="5" t="s">
        <v>3</v>
      </c>
      <c r="C7" s="700" t="s">
        <v>701</v>
      </c>
      <c r="D7" s="700"/>
      <c r="E7" s="700"/>
      <c r="F7" s="700"/>
      <c r="G7" s="700"/>
      <c r="H7" s="700"/>
      <c r="I7" s="700"/>
      <c r="J7" s="700"/>
      <c r="K7" s="700"/>
      <c r="L7" s="700"/>
      <c r="M7" s="700"/>
      <c r="N7" s="700"/>
    </row>
    <row r="8" spans="1:17">
      <c r="A8" s="5" t="s">
        <v>122</v>
      </c>
      <c r="C8" s="8" t="s">
        <v>123</v>
      </c>
      <c r="D8" s="8"/>
      <c r="E8" s="8"/>
      <c r="F8" s="8"/>
      <c r="G8" s="8"/>
      <c r="H8" s="8"/>
      <c r="I8" s="8"/>
      <c r="J8" s="8"/>
      <c r="K8" s="8"/>
      <c r="L8" s="8"/>
      <c r="M8" s="8"/>
      <c r="N8" s="8"/>
    </row>
    <row r="9" spans="1:17" ht="20.25" customHeight="1">
      <c r="A9" s="5" t="s">
        <v>124</v>
      </c>
      <c r="C9" s="700" t="s">
        <v>43</v>
      </c>
      <c r="D9" s="700"/>
      <c r="E9" s="700"/>
      <c r="F9" s="700"/>
      <c r="G9" s="700"/>
      <c r="H9" s="700"/>
      <c r="I9" s="700"/>
      <c r="J9" s="700"/>
      <c r="K9" s="700"/>
      <c r="L9" s="700"/>
      <c r="M9" s="700"/>
      <c r="N9" s="700"/>
    </row>
    <row r="10" spans="1:17">
      <c r="A10" s="5" t="s">
        <v>5</v>
      </c>
      <c r="C10" s="64" t="s">
        <v>15</v>
      </c>
      <c r="D10" s="64"/>
      <c r="E10" s="64"/>
      <c r="F10" s="64"/>
      <c r="G10" s="64"/>
      <c r="H10" s="64"/>
      <c r="I10" s="64"/>
      <c r="J10" s="64"/>
      <c r="K10" s="64"/>
      <c r="L10" s="64"/>
      <c r="M10" s="64"/>
      <c r="N10" s="64"/>
    </row>
    <row r="11" spans="1:17">
      <c r="A11" s="5" t="s">
        <v>6</v>
      </c>
      <c r="C11" s="64" t="s">
        <v>29</v>
      </c>
      <c r="D11" s="64"/>
      <c r="E11" s="64"/>
      <c r="F11" s="64"/>
      <c r="G11" s="64"/>
      <c r="H11" s="64"/>
      <c r="I11" s="64"/>
      <c r="J11" s="64"/>
      <c r="K11" s="64"/>
      <c r="L11" s="64"/>
      <c r="M11" s="64"/>
      <c r="N11" s="64"/>
    </row>
    <row r="12" spans="1:17" ht="18" customHeight="1">
      <c r="A12" s="5" t="s">
        <v>7</v>
      </c>
      <c r="C12" s="700" t="s">
        <v>39</v>
      </c>
      <c r="D12" s="700"/>
      <c r="E12" s="700"/>
      <c r="F12" s="700"/>
      <c r="G12" s="700"/>
      <c r="H12" s="700"/>
      <c r="I12" s="700"/>
      <c r="J12" s="700"/>
      <c r="K12" s="700"/>
      <c r="L12" s="700"/>
      <c r="M12" s="700"/>
      <c r="N12" s="700"/>
    </row>
    <row r="13" spans="1:17" ht="30" customHeight="1">
      <c r="A13" s="737" t="s">
        <v>125</v>
      </c>
      <c r="B13" s="737"/>
      <c r="C13" s="700" t="s">
        <v>302</v>
      </c>
      <c r="D13" s="700"/>
      <c r="E13" s="700"/>
      <c r="F13" s="700"/>
      <c r="G13" s="700"/>
      <c r="H13" s="700"/>
      <c r="I13" s="700"/>
      <c r="J13" s="700"/>
      <c r="K13" s="700"/>
      <c r="L13" s="700"/>
      <c r="M13" s="700"/>
      <c r="N13" s="700"/>
    </row>
    <row r="14" spans="1:17" ht="18" customHeight="1">
      <c r="A14" s="5" t="s">
        <v>127</v>
      </c>
      <c r="C14" s="700"/>
      <c r="D14" s="700"/>
      <c r="E14" s="700"/>
      <c r="F14" s="700"/>
      <c r="G14" s="700"/>
      <c r="H14" s="700"/>
      <c r="I14" s="700"/>
      <c r="J14" s="700"/>
      <c r="K14" s="700"/>
      <c r="L14" s="700"/>
      <c r="M14" s="700"/>
      <c r="N14" s="700"/>
    </row>
    <row r="15" spans="1:17" ht="30" customHeight="1">
      <c r="A15" s="5" t="s">
        <v>10</v>
      </c>
      <c r="C15" s="701" t="s">
        <v>249</v>
      </c>
      <c r="D15" s="701"/>
      <c r="E15" s="701"/>
      <c r="F15" s="701"/>
      <c r="G15" s="701"/>
      <c r="H15" s="701"/>
      <c r="I15" s="701"/>
      <c r="J15" s="701"/>
      <c r="K15" s="701"/>
      <c r="L15" s="701"/>
      <c r="M15" s="701"/>
      <c r="N15" s="701"/>
    </row>
    <row r="16" spans="1:17" ht="24.75" customHeight="1">
      <c r="A16" s="707" t="s">
        <v>443</v>
      </c>
      <c r="B16" s="707"/>
      <c r="C16" s="708" t="s">
        <v>714</v>
      </c>
      <c r="D16" s="709"/>
      <c r="E16" s="709"/>
      <c r="F16" s="709"/>
      <c r="G16" s="709"/>
      <c r="H16" s="709"/>
      <c r="I16" s="709"/>
      <c r="J16" s="709"/>
      <c r="K16" s="709"/>
      <c r="L16" s="709"/>
      <c r="M16" s="709"/>
      <c r="N16" s="709"/>
    </row>
    <row r="17" spans="1:14" ht="24.75" customHeight="1">
      <c r="C17" s="5"/>
      <c r="D17" s="5"/>
      <c r="E17" s="5"/>
      <c r="F17" s="5"/>
      <c r="G17" s="5"/>
      <c r="H17" s="5"/>
      <c r="I17" s="5"/>
      <c r="J17" s="5"/>
      <c r="K17" s="5"/>
      <c r="L17" s="5"/>
      <c r="M17" s="5"/>
      <c r="N17" s="5"/>
    </row>
    <row r="18" spans="1:14">
      <c r="A18" s="4"/>
      <c r="B18" s="10" t="s">
        <v>129</v>
      </c>
      <c r="C18" s="11" t="s">
        <v>130</v>
      </c>
      <c r="D18" s="11" t="s">
        <v>131</v>
      </c>
      <c r="E18" s="11" t="s">
        <v>132</v>
      </c>
      <c r="F18" s="11" t="s">
        <v>133</v>
      </c>
      <c r="G18" s="11" t="s">
        <v>134</v>
      </c>
      <c r="H18" s="11" t="s">
        <v>135</v>
      </c>
      <c r="I18" s="11" t="s">
        <v>136</v>
      </c>
      <c r="J18" s="11" t="s">
        <v>137</v>
      </c>
      <c r="K18" s="11" t="s">
        <v>138</v>
      </c>
      <c r="L18" s="11" t="s">
        <v>139</v>
      </c>
      <c r="M18" s="11" t="s">
        <v>140</v>
      </c>
      <c r="N18" s="11" t="s">
        <v>141</v>
      </c>
    </row>
    <row r="19" spans="1:14">
      <c r="A19" s="4"/>
      <c r="B19" s="10"/>
      <c r="C19" s="11">
        <v>1</v>
      </c>
      <c r="D19" s="11">
        <v>2</v>
      </c>
      <c r="E19" s="11">
        <v>3</v>
      </c>
      <c r="F19" s="11">
        <v>4</v>
      </c>
      <c r="G19" s="11">
        <v>5</v>
      </c>
      <c r="H19" s="11">
        <v>6</v>
      </c>
      <c r="I19" s="11">
        <v>7</v>
      </c>
      <c r="J19" s="11">
        <v>8</v>
      </c>
      <c r="K19" s="11">
        <v>9</v>
      </c>
      <c r="L19" s="11">
        <v>10</v>
      </c>
      <c r="M19" s="11">
        <v>11</v>
      </c>
      <c r="N19" s="11">
        <v>12</v>
      </c>
    </row>
    <row r="20" spans="1:14" ht="35.25" customHeight="1">
      <c r="A20" s="702" t="s">
        <v>142</v>
      </c>
      <c r="B20" s="758"/>
      <c r="C20" s="311">
        <f>+E42</f>
        <v>1</v>
      </c>
      <c r="D20" s="311">
        <f t="shared" ref="D20:F20" si="0">+F42</f>
        <v>1</v>
      </c>
      <c r="E20" s="311">
        <f t="shared" si="0"/>
        <v>1</v>
      </c>
      <c r="F20" s="311">
        <f t="shared" si="0"/>
        <v>1</v>
      </c>
      <c r="G20" s="311">
        <v>1</v>
      </c>
      <c r="H20" s="311">
        <v>1</v>
      </c>
      <c r="I20" s="311">
        <v>1</v>
      </c>
      <c r="J20" s="311">
        <f t="shared" ref="J20:L20" si="1">+L42</f>
        <v>1</v>
      </c>
      <c r="K20" s="311">
        <f t="shared" si="1"/>
        <v>1</v>
      </c>
      <c r="L20" s="311">
        <f t="shared" si="1"/>
        <v>0</v>
      </c>
      <c r="M20" s="311">
        <f t="shared" ref="M20" si="2">+O42</f>
        <v>0</v>
      </c>
      <c r="N20" s="311">
        <f t="shared" ref="N20" si="3">+P42</f>
        <v>0</v>
      </c>
    </row>
    <row r="21" spans="1:14" ht="42" customHeight="1">
      <c r="A21" s="13" t="s">
        <v>143</v>
      </c>
      <c r="B21" s="13"/>
      <c r="C21" s="312">
        <v>1</v>
      </c>
      <c r="D21" s="312">
        <v>1</v>
      </c>
      <c r="E21" s="312">
        <v>1</v>
      </c>
      <c r="F21" s="312">
        <v>1</v>
      </c>
      <c r="G21" s="312">
        <v>1</v>
      </c>
      <c r="H21" s="312">
        <v>1</v>
      </c>
      <c r="I21" s="312">
        <v>1</v>
      </c>
      <c r="J21" s="311">
        <v>1</v>
      </c>
      <c r="K21" s="311">
        <v>1</v>
      </c>
      <c r="L21" s="311">
        <v>1</v>
      </c>
      <c r="M21" s="311">
        <v>1</v>
      </c>
      <c r="N21" s="311">
        <v>1</v>
      </c>
    </row>
    <row r="22" spans="1:14" s="19" customFormat="1" ht="157.5" customHeight="1">
      <c r="A22" s="15" t="s">
        <v>144</v>
      </c>
      <c r="B22" s="16"/>
      <c r="C22" s="17"/>
      <c r="D22" s="17"/>
      <c r="E22" s="17"/>
      <c r="F22" s="17"/>
      <c r="G22" s="17"/>
      <c r="H22" s="17"/>
      <c r="I22" s="17"/>
      <c r="J22" s="17"/>
      <c r="K22" s="17"/>
      <c r="L22" s="17"/>
      <c r="M22" s="17"/>
      <c r="N22" s="18"/>
    </row>
    <row r="23" spans="1:14" ht="7.5" customHeight="1"/>
    <row r="24" spans="1:14" ht="25.5" customHeight="1">
      <c r="A24" s="20" t="s">
        <v>145</v>
      </c>
      <c r="B24" s="21"/>
      <c r="C24" s="22"/>
      <c r="D24" s="22"/>
      <c r="E24" s="22"/>
      <c r="F24" s="22"/>
      <c r="G24" s="23" t="s">
        <v>146</v>
      </c>
      <c r="H24" s="22"/>
      <c r="I24" s="22"/>
      <c r="J24" s="22"/>
      <c r="K24" s="22"/>
      <c r="L24" s="22"/>
      <c r="M24" s="22"/>
      <c r="N24" s="24"/>
    </row>
    <row r="25" spans="1:14" ht="25.5" customHeight="1">
      <c r="A25" s="25" t="s">
        <v>129</v>
      </c>
      <c r="G25" s="26"/>
      <c r="N25" s="27"/>
    </row>
    <row r="26" spans="1:14" s="19" customFormat="1" ht="30" customHeight="1">
      <c r="A26" s="324" t="str">
        <f>+IF(C19&gt;0,C18,"")</f>
        <v>ene</v>
      </c>
      <c r="B26" s="799" t="s">
        <v>657</v>
      </c>
      <c r="C26" s="800"/>
      <c r="D26" s="800"/>
      <c r="E26" s="800"/>
      <c r="F26" s="801"/>
      <c r="G26" s="745" t="s">
        <v>653</v>
      </c>
      <c r="H26" s="746"/>
      <c r="I26" s="746"/>
      <c r="J26" s="746"/>
      <c r="K26" s="746"/>
      <c r="L26" s="746"/>
      <c r="M26" s="746"/>
      <c r="N26" s="747"/>
    </row>
    <row r="27" spans="1:14" s="19" customFormat="1" ht="28.5" customHeight="1">
      <c r="A27" s="325" t="str">
        <f>+IF(D19&gt;0,D18,"")</f>
        <v>feb</v>
      </c>
      <c r="B27" s="799" t="s">
        <v>658</v>
      </c>
      <c r="C27" s="800"/>
      <c r="D27" s="800"/>
      <c r="E27" s="800"/>
      <c r="F27" s="801"/>
      <c r="G27" s="745" t="s">
        <v>653</v>
      </c>
      <c r="H27" s="746"/>
      <c r="I27" s="746"/>
      <c r="J27" s="746"/>
      <c r="K27" s="746"/>
      <c r="L27" s="746"/>
      <c r="M27" s="746"/>
      <c r="N27" s="747"/>
    </row>
    <row r="28" spans="1:14" s="19" customFormat="1" ht="28.5" customHeight="1">
      <c r="A28" s="325" t="str">
        <f>+IF(E19&gt;0,E18,"")</f>
        <v>mar</v>
      </c>
      <c r="B28" s="799" t="s">
        <v>657</v>
      </c>
      <c r="C28" s="800"/>
      <c r="D28" s="800"/>
      <c r="E28" s="800"/>
      <c r="F28" s="801"/>
      <c r="G28" s="745" t="s">
        <v>653</v>
      </c>
      <c r="H28" s="746"/>
      <c r="I28" s="746"/>
      <c r="J28" s="746"/>
      <c r="K28" s="746"/>
      <c r="L28" s="746"/>
      <c r="M28" s="746"/>
      <c r="N28" s="747"/>
    </row>
    <row r="29" spans="1:14" s="19" customFormat="1" ht="28.5" customHeight="1">
      <c r="A29" s="325" t="str">
        <f>+IF(F19&gt;0,F18,"")</f>
        <v>abr</v>
      </c>
      <c r="B29" s="799" t="s">
        <v>658</v>
      </c>
      <c r="C29" s="800"/>
      <c r="D29" s="800"/>
      <c r="E29" s="800"/>
      <c r="F29" s="801"/>
      <c r="G29" s="745" t="s">
        <v>653</v>
      </c>
      <c r="H29" s="746"/>
      <c r="I29" s="746"/>
      <c r="J29" s="746"/>
      <c r="K29" s="746"/>
      <c r="L29" s="746"/>
      <c r="M29" s="746"/>
      <c r="N29" s="747"/>
    </row>
    <row r="30" spans="1:14" s="19" customFormat="1" ht="34.5" customHeight="1">
      <c r="A30" s="325" t="str">
        <f>+IF(G19&gt;0,G18,"")</f>
        <v>may</v>
      </c>
      <c r="B30" s="799" t="s">
        <v>658</v>
      </c>
      <c r="C30" s="800"/>
      <c r="D30" s="800"/>
      <c r="E30" s="800"/>
      <c r="F30" s="801"/>
      <c r="G30" s="745" t="s">
        <v>653</v>
      </c>
      <c r="H30" s="746"/>
      <c r="I30" s="746"/>
      <c r="J30" s="746"/>
      <c r="K30" s="746"/>
      <c r="L30" s="746"/>
      <c r="M30" s="746"/>
      <c r="N30" s="747"/>
    </row>
    <row r="31" spans="1:14" s="19" customFormat="1" ht="34.5" customHeight="1">
      <c r="A31" s="325" t="str">
        <f>+IF(H19&gt;0,H18,"")</f>
        <v>jun</v>
      </c>
      <c r="B31" s="799" t="s">
        <v>658</v>
      </c>
      <c r="C31" s="800"/>
      <c r="D31" s="800"/>
      <c r="E31" s="800"/>
      <c r="F31" s="801"/>
      <c r="G31" s="745" t="s">
        <v>653</v>
      </c>
      <c r="H31" s="746"/>
      <c r="I31" s="746"/>
      <c r="J31" s="746"/>
      <c r="K31" s="746"/>
      <c r="L31" s="746"/>
      <c r="M31" s="746"/>
      <c r="N31" s="747"/>
    </row>
    <row r="32" spans="1:14" s="19" customFormat="1" ht="33.75" customHeight="1">
      <c r="A32" s="325" t="str">
        <f>+IF(I19&gt;0,I18,"")</f>
        <v>jul</v>
      </c>
      <c r="B32" s="799" t="s">
        <v>658</v>
      </c>
      <c r="C32" s="800"/>
      <c r="D32" s="800"/>
      <c r="E32" s="800"/>
      <c r="F32" s="801"/>
      <c r="G32" s="745" t="s">
        <v>653</v>
      </c>
      <c r="H32" s="746"/>
      <c r="I32" s="746"/>
      <c r="J32" s="746"/>
      <c r="K32" s="746"/>
      <c r="L32" s="746"/>
      <c r="M32" s="746"/>
      <c r="N32" s="747"/>
    </row>
    <row r="33" spans="1:17" s="19" customFormat="1" ht="48.75" customHeight="1">
      <c r="A33" s="325" t="str">
        <f>+IF(J19&gt;0,J18,"")</f>
        <v>ago</v>
      </c>
      <c r="B33" s="799" t="s">
        <v>658</v>
      </c>
      <c r="C33" s="800"/>
      <c r="D33" s="800"/>
      <c r="E33" s="800"/>
      <c r="F33" s="801"/>
      <c r="G33" s="745" t="s">
        <v>653</v>
      </c>
      <c r="H33" s="746"/>
      <c r="I33" s="746"/>
      <c r="J33" s="746"/>
      <c r="K33" s="746"/>
      <c r="L33" s="746"/>
      <c r="M33" s="746"/>
      <c r="N33" s="747"/>
    </row>
    <row r="34" spans="1:17" s="19" customFormat="1" ht="45.75" customHeight="1">
      <c r="A34" s="325" t="str">
        <f>+IF(K19&gt;0,K18,"")</f>
        <v>sep</v>
      </c>
      <c r="B34" s="799" t="s">
        <v>658</v>
      </c>
      <c r="C34" s="800"/>
      <c r="D34" s="800"/>
      <c r="E34" s="800"/>
      <c r="F34" s="801"/>
      <c r="G34" s="745" t="s">
        <v>653</v>
      </c>
      <c r="H34" s="746"/>
      <c r="I34" s="746"/>
      <c r="J34" s="746"/>
      <c r="K34" s="746"/>
      <c r="L34" s="746"/>
      <c r="M34" s="746"/>
      <c r="N34" s="747"/>
    </row>
    <row r="35" spans="1:17" s="19" customFormat="1" ht="28.5" customHeight="1">
      <c r="A35" s="325" t="str">
        <f>+IF(L19&gt;0,L18,"")</f>
        <v>oct</v>
      </c>
      <c r="B35" s="799"/>
      <c r="C35" s="800"/>
      <c r="D35" s="800"/>
      <c r="E35" s="800"/>
      <c r="F35" s="801"/>
      <c r="G35" s="745"/>
      <c r="H35" s="746"/>
      <c r="I35" s="746"/>
      <c r="J35" s="746"/>
      <c r="K35" s="746"/>
      <c r="L35" s="746"/>
      <c r="M35" s="746"/>
      <c r="N35" s="747"/>
    </row>
    <row r="36" spans="1:17" s="19" customFormat="1" ht="28.5" customHeight="1">
      <c r="A36" s="325" t="str">
        <f>+IF(M19&gt;0,M18,"")</f>
        <v>nov</v>
      </c>
      <c r="B36" s="799"/>
      <c r="C36" s="800"/>
      <c r="D36" s="800"/>
      <c r="E36" s="800"/>
      <c r="F36" s="801"/>
      <c r="G36" s="745"/>
      <c r="H36" s="746"/>
      <c r="I36" s="746"/>
      <c r="J36" s="746"/>
      <c r="K36" s="746"/>
      <c r="L36" s="746"/>
      <c r="M36" s="746"/>
      <c r="N36" s="747"/>
    </row>
    <row r="37" spans="1:17" s="19" customFormat="1" ht="28.5" customHeight="1">
      <c r="A37" s="53" t="str">
        <f>+IF(N19&gt;0,N18,"")</f>
        <v>dic</v>
      </c>
      <c r="B37" s="799"/>
      <c r="C37" s="800"/>
      <c r="D37" s="800"/>
      <c r="E37" s="800"/>
      <c r="F37" s="801"/>
      <c r="G37" s="745"/>
      <c r="H37" s="746"/>
      <c r="I37" s="746"/>
      <c r="J37" s="746"/>
      <c r="K37" s="746"/>
      <c r="L37" s="746"/>
      <c r="M37" s="746"/>
      <c r="N37" s="747"/>
    </row>
    <row r="39" spans="1:17" ht="16.5" customHeight="1">
      <c r="B39" s="123" t="s">
        <v>294</v>
      </c>
      <c r="C39" s="123" t="s">
        <v>154</v>
      </c>
      <c r="D39" s="123"/>
      <c r="E39" s="123" t="s">
        <v>259</v>
      </c>
      <c r="F39" s="123" t="s">
        <v>260</v>
      </c>
      <c r="G39" s="123" t="s">
        <v>261</v>
      </c>
      <c r="H39" s="123" t="s">
        <v>262</v>
      </c>
      <c r="I39" s="123" t="s">
        <v>263</v>
      </c>
      <c r="J39" s="123" t="s">
        <v>264</v>
      </c>
      <c r="K39" s="123" t="s">
        <v>265</v>
      </c>
      <c r="L39" s="123" t="s">
        <v>266</v>
      </c>
      <c r="M39" s="123" t="s">
        <v>267</v>
      </c>
      <c r="N39" s="123" t="s">
        <v>268</v>
      </c>
      <c r="O39" s="123" t="s">
        <v>303</v>
      </c>
      <c r="P39" s="123" t="s">
        <v>270</v>
      </c>
    </row>
    <row r="40" spans="1:17" ht="30">
      <c r="B40" s="469" t="s">
        <v>253</v>
      </c>
      <c r="C40" s="326" t="s">
        <v>167</v>
      </c>
      <c r="D40" s="326">
        <v>6</v>
      </c>
      <c r="E40" s="85">
        <f>+'Calidad PTAR'!C66</f>
        <v>4.0999999999999996</v>
      </c>
      <c r="F40" s="85">
        <f>+'Calidad PTAR'!D66</f>
        <v>3.9</v>
      </c>
      <c r="G40" s="85">
        <f>+'Calidad PTAR'!E66</f>
        <v>3.8</v>
      </c>
      <c r="H40" s="85">
        <f>+'Calidad PTAR'!F66</f>
        <v>3.7</v>
      </c>
      <c r="I40" s="85">
        <f>+'Calidad PTAR'!G66</f>
        <v>3.8</v>
      </c>
      <c r="J40" s="85">
        <f>+'Calidad PTAR'!H66</f>
        <v>4</v>
      </c>
      <c r="K40" s="85">
        <f>+'Calidad PTAR'!I66</f>
        <v>3.6</v>
      </c>
      <c r="L40" s="85">
        <v>3.8</v>
      </c>
      <c r="M40" s="85">
        <v>3.7</v>
      </c>
      <c r="N40" s="85">
        <f>+'Calidad PTAR'!L66</f>
        <v>0</v>
      </c>
      <c r="O40" s="85">
        <f>+'Calidad PTAR'!M66</f>
        <v>0</v>
      </c>
      <c r="P40" s="85">
        <v>3.8</v>
      </c>
      <c r="Q40" s="802" t="s">
        <v>722</v>
      </c>
    </row>
    <row r="41" spans="1:17" ht="29.25" customHeight="1">
      <c r="B41" s="469" t="s">
        <v>251</v>
      </c>
      <c r="C41" s="326" t="s">
        <v>167</v>
      </c>
      <c r="D41" s="326">
        <v>200</v>
      </c>
      <c r="E41" s="86">
        <f>+'Calidad PTAR'!C69</f>
        <v>140</v>
      </c>
      <c r="F41" s="86">
        <f>+'Calidad PTAR'!D69</f>
        <v>150</v>
      </c>
      <c r="G41" s="86">
        <f>+'Calidad PTAR'!E69</f>
        <v>130</v>
      </c>
      <c r="H41" s="86">
        <f>+'Calidad PTAR'!F69</f>
        <v>135</v>
      </c>
      <c r="I41" s="86">
        <v>180</v>
      </c>
      <c r="J41" s="86">
        <v>160</v>
      </c>
      <c r="K41" s="86">
        <v>150</v>
      </c>
      <c r="L41" s="86">
        <v>170</v>
      </c>
      <c r="M41" s="86">
        <v>160</v>
      </c>
      <c r="N41" s="86">
        <f>+'Calidad PTAR'!L69</f>
        <v>0</v>
      </c>
      <c r="O41" s="86">
        <f>+'Calidad PTAR'!M69</f>
        <v>0</v>
      </c>
      <c r="P41" s="86">
        <f>+'Calidad PTAR'!N69</f>
        <v>0</v>
      </c>
      <c r="Q41" s="802"/>
    </row>
    <row r="42" spans="1:17" ht="16.5" customHeight="1">
      <c r="B42" s="796" t="s">
        <v>295</v>
      </c>
      <c r="C42" s="797"/>
      <c r="D42" s="798"/>
      <c r="E42" s="310">
        <f>+'[1]Calidad PTAR'!C76</f>
        <v>1</v>
      </c>
      <c r="F42" s="310">
        <f>+'[1]Calidad PTAR'!D76</f>
        <v>1</v>
      </c>
      <c r="G42" s="310">
        <f>+'[1]Calidad PTAR'!E76</f>
        <v>1</v>
      </c>
      <c r="H42" s="310">
        <f>+'[1]Calidad PTAR'!F76</f>
        <v>1</v>
      </c>
      <c r="I42" s="310">
        <v>1</v>
      </c>
      <c r="J42" s="310">
        <v>1</v>
      </c>
      <c r="K42" s="310">
        <v>1</v>
      </c>
      <c r="L42" s="310">
        <v>1</v>
      </c>
      <c r="M42" s="310">
        <v>1</v>
      </c>
      <c r="N42" s="310"/>
      <c r="O42" s="310"/>
      <c r="P42" s="310"/>
    </row>
    <row r="43" spans="1:17">
      <c r="B43" s="4"/>
    </row>
    <row r="44" spans="1:17">
      <c r="B44" s="4"/>
    </row>
    <row r="45" spans="1:17">
      <c r="B45" s="4"/>
    </row>
  </sheetData>
  <sheetProtection formatCells="0" formatColumns="0" formatRows="0"/>
  <mergeCells count="46">
    <mergeCell ref="Q40:Q41"/>
    <mergeCell ref="A1:J4"/>
    <mergeCell ref="K1:L1"/>
    <mergeCell ref="M1:N1"/>
    <mergeCell ref="K2:L2"/>
    <mergeCell ref="M2:N2"/>
    <mergeCell ref="K3:L3"/>
    <mergeCell ref="M3:N3"/>
    <mergeCell ref="K4:L4"/>
    <mergeCell ref="M4:N4"/>
    <mergeCell ref="B27:F27"/>
    <mergeCell ref="G27:N27"/>
    <mergeCell ref="C6:N6"/>
    <mergeCell ref="C7:N7"/>
    <mergeCell ref="C9:N9"/>
    <mergeCell ref="C12:N12"/>
    <mergeCell ref="A13:B13"/>
    <mergeCell ref="C13:N13"/>
    <mergeCell ref="C14:N14"/>
    <mergeCell ref="C15:N15"/>
    <mergeCell ref="A20:B20"/>
    <mergeCell ref="B26:F26"/>
    <mergeCell ref="G26:N26"/>
    <mergeCell ref="A16:B16"/>
    <mergeCell ref="C16:N16"/>
    <mergeCell ref="B28:F28"/>
    <mergeCell ref="G28:N28"/>
    <mergeCell ref="B29:F29"/>
    <mergeCell ref="G29:N29"/>
    <mergeCell ref="B30:F30"/>
    <mergeCell ref="G30:N30"/>
    <mergeCell ref="B34:F34"/>
    <mergeCell ref="G34:N34"/>
    <mergeCell ref="B42:D42"/>
    <mergeCell ref="B31:F31"/>
    <mergeCell ref="G31:N31"/>
    <mergeCell ref="B32:F32"/>
    <mergeCell ref="G32:N32"/>
    <mergeCell ref="B33:F33"/>
    <mergeCell ref="G33:N33"/>
    <mergeCell ref="B35:F35"/>
    <mergeCell ref="G35:N35"/>
    <mergeCell ref="B36:F36"/>
    <mergeCell ref="G36:N36"/>
    <mergeCell ref="B37:F37"/>
    <mergeCell ref="G37:N37"/>
  </mergeCells>
  <hyperlinks>
    <hyperlink ref="O5" location="'Matriz Sta Ana'!A1" display="Volver" xr:uid="{B6989965-BC38-425B-9AD7-434AD210464B}"/>
    <hyperlink ref="Q6" location="'Matriz Sta Ana'!A1" display="Volver" xr:uid="{824726DB-E927-4279-88C7-D5B6EF2E2458}"/>
  </hyperlinks>
  <pageMargins left="0.7" right="0.7" top="0.75" bottom="0.75" header="0.3" footer="0.3"/>
  <pageSetup scale="63" fitToHeight="0" orientation="portrait" r:id="rId1"/>
  <rowBreaks count="1" manualBreakCount="1">
    <brk id="21" max="15" man="1"/>
  </rowBreaks>
  <drawing r:id="rId2"/>
  <legacy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2CD2AC-78E7-4E03-ADE2-18D10F63BB9E}">
  <sheetPr>
    <tabColor rgb="FFFFFF00"/>
    <pageSetUpPr fitToPage="1"/>
  </sheetPr>
  <dimension ref="A1:T77"/>
  <sheetViews>
    <sheetView view="pageBreakPreview" topLeftCell="A56" zoomScale="96" zoomScaleNormal="85" zoomScaleSheetLayoutView="145" workbookViewId="0">
      <selection activeCell="B61" sqref="B61:E61"/>
    </sheetView>
  </sheetViews>
  <sheetFormatPr baseColWidth="10" defaultColWidth="11.42578125" defaultRowHeight="15"/>
  <cols>
    <col min="1" max="1" width="28.140625" style="226" bestFit="1" customWidth="1"/>
    <col min="2" max="2" width="19.5703125" style="226" customWidth="1"/>
    <col min="3" max="3" width="7.140625" style="92" customWidth="1"/>
    <col min="4" max="4" width="9.42578125" style="92" customWidth="1"/>
    <col min="5" max="5" width="10.5703125" style="92" bestFit="1" customWidth="1"/>
    <col min="6" max="6" width="11.5703125" style="92" customWidth="1"/>
    <col min="7" max="18" width="7.85546875" style="92" customWidth="1"/>
    <col min="19" max="19" width="11.140625" style="92" customWidth="1"/>
    <col min="20" max="20" width="10.42578125" style="92" customWidth="1"/>
    <col min="21" max="23" width="6" style="92" customWidth="1"/>
    <col min="24" max="16384" width="11.42578125" style="92"/>
  </cols>
  <sheetData>
    <row r="1" spans="1:20" ht="37.5">
      <c r="A1" s="114" t="s">
        <v>224</v>
      </c>
    </row>
    <row r="2" spans="1:20" s="4" customFormat="1" ht="24.75" customHeight="1">
      <c r="A2" s="707" t="s">
        <v>443</v>
      </c>
      <c r="B2" s="707"/>
      <c r="C2" s="708" t="s">
        <v>714</v>
      </c>
      <c r="D2" s="709"/>
      <c r="E2" s="709"/>
      <c r="F2" s="709"/>
      <c r="G2" s="709"/>
      <c r="H2" s="709"/>
      <c r="I2" s="709"/>
      <c r="J2" s="709"/>
      <c r="K2" s="709"/>
      <c r="L2" s="709"/>
      <c r="M2" s="709"/>
      <c r="N2" s="709"/>
    </row>
    <row r="3" spans="1:20" s="4" customFormat="1" ht="24.75" customHeight="1">
      <c r="A3" s="5"/>
      <c r="B3" s="5"/>
      <c r="C3" s="5"/>
      <c r="D3" s="5"/>
      <c r="E3" s="5"/>
      <c r="F3" s="5"/>
      <c r="G3" s="5"/>
      <c r="H3" s="5"/>
      <c r="I3" s="5"/>
      <c r="J3" s="5"/>
      <c r="K3" s="5"/>
      <c r="L3" s="5"/>
      <c r="M3" s="5"/>
      <c r="N3" s="5"/>
    </row>
    <row r="5" spans="1:20">
      <c r="A5" s="92" t="s">
        <v>225</v>
      </c>
      <c r="G5" s="102" t="s">
        <v>151</v>
      </c>
      <c r="H5" s="102"/>
      <c r="I5" s="102"/>
      <c r="J5" s="102"/>
      <c r="K5" s="102"/>
      <c r="L5" s="103"/>
      <c r="M5" s="103"/>
      <c r="N5" s="103"/>
      <c r="O5" s="103"/>
      <c r="P5" s="103"/>
      <c r="Q5" s="120"/>
      <c r="S5" s="68" t="s">
        <v>120</v>
      </c>
      <c r="T5" s="67"/>
    </row>
    <row r="6" spans="1:20" s="93" customFormat="1" ht="30">
      <c r="A6" s="98" t="s">
        <v>152</v>
      </c>
      <c r="B6" s="98" t="s">
        <v>153</v>
      </c>
      <c r="C6" s="99" t="s">
        <v>154</v>
      </c>
      <c r="D6" s="99"/>
      <c r="E6" s="100" t="s">
        <v>155</v>
      </c>
      <c r="F6" s="470" t="s">
        <v>226</v>
      </c>
      <c r="G6" s="99" t="s">
        <v>259</v>
      </c>
      <c r="H6" s="99" t="s">
        <v>260</v>
      </c>
      <c r="I6" s="99" t="s">
        <v>261</v>
      </c>
      <c r="J6" s="99" t="s">
        <v>262</v>
      </c>
      <c r="K6" s="99" t="s">
        <v>263</v>
      </c>
      <c r="L6" s="99" t="s">
        <v>264</v>
      </c>
      <c r="M6" s="99" t="s">
        <v>265</v>
      </c>
      <c r="N6" s="99" t="s">
        <v>266</v>
      </c>
      <c r="O6" s="99" t="s">
        <v>267</v>
      </c>
      <c r="P6" s="99" t="s">
        <v>268</v>
      </c>
      <c r="Q6" s="99" t="s">
        <v>269</v>
      </c>
      <c r="R6" s="99" t="s">
        <v>270</v>
      </c>
      <c r="T6" s="93">
        <v>3.3</v>
      </c>
    </row>
    <row r="7" spans="1:20">
      <c r="A7" s="803" t="s">
        <v>253</v>
      </c>
      <c r="B7" s="107" t="s">
        <v>252</v>
      </c>
      <c r="C7" s="327" t="s">
        <v>167</v>
      </c>
      <c r="D7" s="270">
        <v>6</v>
      </c>
      <c r="E7" s="332" t="s">
        <v>15</v>
      </c>
      <c r="F7" s="335">
        <v>1</v>
      </c>
      <c r="G7" s="623">
        <v>4.0999999999999996</v>
      </c>
      <c r="H7" s="623">
        <v>3.9</v>
      </c>
      <c r="I7" s="624">
        <v>3.8</v>
      </c>
      <c r="J7" s="624">
        <v>3.7</v>
      </c>
      <c r="K7" s="624">
        <v>3.8</v>
      </c>
      <c r="L7" s="625">
        <v>4</v>
      </c>
      <c r="M7" s="624">
        <v>3.6</v>
      </c>
      <c r="N7" s="624">
        <v>3.8</v>
      </c>
      <c r="O7" s="624">
        <v>3.7</v>
      </c>
      <c r="P7" s="626"/>
      <c r="Q7" s="626"/>
      <c r="R7" s="626"/>
      <c r="T7" s="92">
        <v>3.6</v>
      </c>
    </row>
    <row r="8" spans="1:20">
      <c r="A8" s="804"/>
      <c r="B8" s="112"/>
      <c r="C8" s="336"/>
      <c r="D8" s="333"/>
      <c r="E8" s="337"/>
      <c r="F8" s="333"/>
      <c r="G8" s="342">
        <v>0</v>
      </c>
      <c r="H8" s="342">
        <v>0</v>
      </c>
      <c r="I8" s="342">
        <v>0</v>
      </c>
      <c r="J8" s="342">
        <v>0</v>
      </c>
      <c r="K8" s="342">
        <v>0</v>
      </c>
      <c r="L8" s="342">
        <v>0</v>
      </c>
      <c r="M8" s="342">
        <v>0</v>
      </c>
      <c r="N8" s="342">
        <v>0</v>
      </c>
      <c r="O8" s="342">
        <v>0</v>
      </c>
      <c r="P8" s="122">
        <v>0</v>
      </c>
      <c r="Q8" s="122">
        <v>0</v>
      </c>
      <c r="R8" s="122">
        <v>0</v>
      </c>
      <c r="T8" s="92">
        <f>SUM(T6:T7)</f>
        <v>6.9</v>
      </c>
    </row>
    <row r="9" spans="1:20">
      <c r="A9" s="805"/>
      <c r="B9" s="108"/>
      <c r="C9" s="96"/>
      <c r="D9" s="42"/>
      <c r="E9" s="109"/>
      <c r="F9" s="49"/>
      <c r="G9" s="50" t="s">
        <v>160</v>
      </c>
      <c r="H9" s="50" t="s">
        <v>160</v>
      </c>
      <c r="I9" s="340" t="s">
        <v>160</v>
      </c>
      <c r="J9" s="340" t="s">
        <v>160</v>
      </c>
      <c r="K9" s="340" t="s">
        <v>160</v>
      </c>
      <c r="L9" s="340" t="s">
        <v>160</v>
      </c>
      <c r="M9" s="340" t="s">
        <v>160</v>
      </c>
      <c r="N9" s="340" t="s">
        <v>160</v>
      </c>
      <c r="O9" s="340" t="s">
        <v>160</v>
      </c>
      <c r="P9" s="121" t="s">
        <v>160</v>
      </c>
      <c r="Q9" s="121" t="s">
        <v>160</v>
      </c>
      <c r="R9" s="121" t="s">
        <v>160</v>
      </c>
      <c r="T9" s="92">
        <f>+T8/2</f>
        <v>3.45</v>
      </c>
    </row>
    <row r="10" spans="1:20">
      <c r="A10" s="803" t="s">
        <v>251</v>
      </c>
      <c r="B10" s="107" t="s">
        <v>250</v>
      </c>
      <c r="C10" s="327" t="s">
        <v>167</v>
      </c>
      <c r="D10" s="270">
        <v>200</v>
      </c>
      <c r="E10" s="332" t="s">
        <v>15</v>
      </c>
      <c r="F10" s="43">
        <v>1</v>
      </c>
      <c r="G10" s="627">
        <v>140</v>
      </c>
      <c r="H10" s="627">
        <v>150</v>
      </c>
      <c r="I10" s="624">
        <v>130</v>
      </c>
      <c r="J10" s="624">
        <v>135</v>
      </c>
      <c r="K10" s="624">
        <v>180</v>
      </c>
      <c r="L10" s="624">
        <v>160</v>
      </c>
      <c r="M10" s="624">
        <v>150</v>
      </c>
      <c r="N10" s="624">
        <v>170</v>
      </c>
      <c r="O10" s="624">
        <v>160</v>
      </c>
      <c r="P10" s="626"/>
      <c r="Q10" s="626"/>
      <c r="R10" s="626"/>
    </row>
    <row r="11" spans="1:20">
      <c r="A11" s="804"/>
      <c r="B11" s="112"/>
      <c r="C11" s="336"/>
      <c r="D11" s="333"/>
      <c r="E11" s="337"/>
      <c r="F11" s="333"/>
      <c r="G11" s="342">
        <v>0</v>
      </c>
      <c r="H11" s="342">
        <v>0</v>
      </c>
      <c r="I11" s="342">
        <v>0</v>
      </c>
      <c r="J11" s="342">
        <v>0</v>
      </c>
      <c r="K11" s="342">
        <v>0</v>
      </c>
      <c r="L11" s="342">
        <v>0</v>
      </c>
      <c r="M11" s="342">
        <v>0</v>
      </c>
      <c r="N11" s="342">
        <v>0</v>
      </c>
      <c r="O11" s="342">
        <v>0</v>
      </c>
      <c r="P11" s="122">
        <v>0</v>
      </c>
      <c r="Q11" s="122">
        <v>0</v>
      </c>
      <c r="R11" s="122">
        <v>0</v>
      </c>
    </row>
    <row r="12" spans="1:20">
      <c r="A12" s="805"/>
      <c r="B12" s="108"/>
      <c r="C12" s="96"/>
      <c r="D12" s="42"/>
      <c r="E12" s="109"/>
      <c r="F12" s="333"/>
      <c r="G12" s="50" t="s">
        <v>160</v>
      </c>
      <c r="H12" s="50" t="s">
        <v>160</v>
      </c>
      <c r="I12" s="340" t="s">
        <v>160</v>
      </c>
      <c r="J12" s="340" t="s">
        <v>160</v>
      </c>
      <c r="K12" s="340" t="s">
        <v>160</v>
      </c>
      <c r="L12" s="340" t="s">
        <v>160</v>
      </c>
      <c r="M12" s="340" t="s">
        <v>160</v>
      </c>
      <c r="N12" s="340" t="s">
        <v>160</v>
      </c>
      <c r="O12" s="340" t="s">
        <v>160</v>
      </c>
      <c r="P12" s="121" t="s">
        <v>160</v>
      </c>
      <c r="Q12" s="121" t="s">
        <v>160</v>
      </c>
      <c r="R12" s="121" t="s">
        <v>160</v>
      </c>
    </row>
    <row r="13" spans="1:20">
      <c r="A13" s="803" t="s">
        <v>533</v>
      </c>
      <c r="B13" s="107"/>
      <c r="C13" s="327" t="s">
        <v>534</v>
      </c>
      <c r="D13" s="270" t="s">
        <v>174</v>
      </c>
      <c r="E13" s="332" t="s">
        <v>15</v>
      </c>
      <c r="F13" s="43">
        <v>1</v>
      </c>
      <c r="G13" s="624">
        <v>6.8</v>
      </c>
      <c r="H13" s="624">
        <v>6.7</v>
      </c>
      <c r="I13" s="624">
        <v>6.9</v>
      </c>
      <c r="J13" s="624">
        <v>6.9</v>
      </c>
      <c r="K13" s="624">
        <v>7.1</v>
      </c>
      <c r="L13" s="624">
        <v>6.8</v>
      </c>
      <c r="M13" s="624">
        <v>6.8</v>
      </c>
      <c r="N13" s="624">
        <v>6.7</v>
      </c>
      <c r="O13" s="624">
        <v>6.7</v>
      </c>
      <c r="P13" s="626"/>
      <c r="Q13" s="626"/>
      <c r="R13" s="626"/>
    </row>
    <row r="14" spans="1:20">
      <c r="A14" s="804"/>
      <c r="B14" s="112"/>
      <c r="D14" s="333"/>
      <c r="E14" s="337"/>
      <c r="F14" s="333"/>
      <c r="G14" s="342">
        <v>0</v>
      </c>
      <c r="H14" s="342">
        <v>0</v>
      </c>
      <c r="I14" s="342">
        <v>0</v>
      </c>
      <c r="J14" s="342">
        <v>0</v>
      </c>
      <c r="K14" s="342">
        <v>0</v>
      </c>
      <c r="L14" s="342">
        <v>0</v>
      </c>
      <c r="M14" s="342">
        <v>0</v>
      </c>
      <c r="N14" s="342">
        <v>0</v>
      </c>
      <c r="O14" s="342">
        <v>0</v>
      </c>
      <c r="P14" s="122">
        <v>0</v>
      </c>
      <c r="Q14" s="122">
        <v>0</v>
      </c>
      <c r="R14" s="122">
        <v>0</v>
      </c>
    </row>
    <row r="15" spans="1:20">
      <c r="A15" s="805"/>
      <c r="B15" s="108"/>
      <c r="C15" s="96"/>
      <c r="D15" s="42"/>
      <c r="E15" s="109"/>
      <c r="F15" s="333"/>
      <c r="G15" s="50" t="s">
        <v>160</v>
      </c>
      <c r="H15" s="50" t="s">
        <v>160</v>
      </c>
      <c r="I15" s="340" t="s">
        <v>160</v>
      </c>
      <c r="J15" s="340" t="s">
        <v>160</v>
      </c>
      <c r="K15" s="340" t="s">
        <v>160</v>
      </c>
      <c r="L15" s="340" t="s">
        <v>160</v>
      </c>
      <c r="M15" s="340" t="s">
        <v>160</v>
      </c>
      <c r="N15" s="340" t="s">
        <v>160</v>
      </c>
      <c r="O15" s="340" t="s">
        <v>160</v>
      </c>
      <c r="P15" s="121" t="s">
        <v>160</v>
      </c>
      <c r="Q15" s="121" t="s">
        <v>160</v>
      </c>
      <c r="R15" s="121" t="s">
        <v>160</v>
      </c>
    </row>
    <row r="16" spans="1:20" ht="30">
      <c r="A16" s="469" t="s">
        <v>206</v>
      </c>
      <c r="B16" s="468" t="s">
        <v>207</v>
      </c>
      <c r="C16" s="271" t="s">
        <v>461</v>
      </c>
      <c r="D16" s="272">
        <v>1</v>
      </c>
      <c r="E16" s="327" t="s">
        <v>15</v>
      </c>
      <c r="F16" s="327"/>
      <c r="G16" s="477">
        <f>COUNTIF(G7:G15,"C")/3</f>
        <v>1</v>
      </c>
      <c r="H16" s="477">
        <f t="shared" ref="H16:O16" si="0">COUNTIF(H7:H15,"C")/3</f>
        <v>1</v>
      </c>
      <c r="I16" s="477">
        <f t="shared" si="0"/>
        <v>1</v>
      </c>
      <c r="J16" s="477">
        <f t="shared" si="0"/>
        <v>1</v>
      </c>
      <c r="K16" s="477">
        <f t="shared" si="0"/>
        <v>1</v>
      </c>
      <c r="L16" s="477">
        <f t="shared" si="0"/>
        <v>1</v>
      </c>
      <c r="M16" s="477">
        <f t="shared" si="0"/>
        <v>1</v>
      </c>
      <c r="N16" s="477">
        <f t="shared" si="0"/>
        <v>1</v>
      </c>
      <c r="O16" s="477">
        <f t="shared" si="0"/>
        <v>1</v>
      </c>
      <c r="P16" s="477"/>
      <c r="Q16" s="477"/>
      <c r="R16" s="477"/>
    </row>
    <row r="51" spans="1:18" s="93" customFormat="1">
      <c r="A51" s="98" t="s">
        <v>129</v>
      </c>
      <c r="B51" s="807" t="s">
        <v>209</v>
      </c>
      <c r="C51" s="807"/>
      <c r="D51" s="807"/>
      <c r="E51" s="807"/>
      <c r="F51" s="100"/>
      <c r="G51" s="808" t="s">
        <v>210</v>
      </c>
      <c r="H51" s="808"/>
      <c r="I51" s="808"/>
      <c r="J51" s="808"/>
      <c r="K51" s="808"/>
      <c r="L51" s="808"/>
      <c r="M51" s="808"/>
      <c r="N51" s="808"/>
      <c r="O51" s="808"/>
      <c r="P51" s="808"/>
      <c r="Q51" s="808"/>
      <c r="R51" s="808"/>
    </row>
    <row r="52" spans="1:18" ht="41.25" customHeight="1">
      <c r="A52" s="468" t="s">
        <v>212</v>
      </c>
      <c r="B52" s="806" t="s">
        <v>656</v>
      </c>
      <c r="C52" s="806"/>
      <c r="D52" s="806"/>
      <c r="E52" s="806"/>
      <c r="F52" s="327"/>
      <c r="G52" s="806" t="s">
        <v>653</v>
      </c>
      <c r="H52" s="806"/>
      <c r="I52" s="806"/>
      <c r="J52" s="806"/>
      <c r="K52" s="806"/>
      <c r="L52" s="806"/>
      <c r="M52" s="806"/>
      <c r="N52" s="806"/>
      <c r="O52" s="806"/>
      <c r="P52" s="806"/>
      <c r="Q52" s="806"/>
      <c r="R52" s="806"/>
    </row>
    <row r="53" spans="1:18" ht="41.25" customHeight="1">
      <c r="A53" s="468" t="s">
        <v>213</v>
      </c>
      <c r="B53" s="806" t="s">
        <v>656</v>
      </c>
      <c r="C53" s="806"/>
      <c r="D53" s="806"/>
      <c r="E53" s="806"/>
      <c r="F53" s="327"/>
      <c r="G53" s="806" t="s">
        <v>653</v>
      </c>
      <c r="H53" s="806"/>
      <c r="I53" s="806"/>
      <c r="J53" s="806"/>
      <c r="K53" s="806"/>
      <c r="L53" s="806"/>
      <c r="M53" s="806"/>
      <c r="N53" s="806"/>
      <c r="O53" s="806"/>
      <c r="P53" s="806"/>
      <c r="Q53" s="806"/>
      <c r="R53" s="806"/>
    </row>
    <row r="54" spans="1:18" ht="41.25" customHeight="1">
      <c r="A54" s="468" t="s">
        <v>214</v>
      </c>
      <c r="B54" s="806" t="s">
        <v>656</v>
      </c>
      <c r="C54" s="806"/>
      <c r="D54" s="806"/>
      <c r="E54" s="806"/>
      <c r="F54" s="327"/>
      <c r="G54" s="806" t="s">
        <v>653</v>
      </c>
      <c r="H54" s="806"/>
      <c r="I54" s="806"/>
      <c r="J54" s="806"/>
      <c r="K54" s="806"/>
      <c r="L54" s="806"/>
      <c r="M54" s="806"/>
      <c r="N54" s="806"/>
      <c r="O54" s="806"/>
      <c r="P54" s="806"/>
      <c r="Q54" s="806"/>
      <c r="R54" s="806"/>
    </row>
    <row r="55" spans="1:18" ht="41.25" customHeight="1">
      <c r="A55" s="468" t="s">
        <v>215</v>
      </c>
      <c r="B55" s="806" t="s">
        <v>656</v>
      </c>
      <c r="C55" s="806"/>
      <c r="D55" s="806"/>
      <c r="E55" s="806"/>
      <c r="F55" s="327"/>
      <c r="G55" s="806" t="s">
        <v>653</v>
      </c>
      <c r="H55" s="806"/>
      <c r="I55" s="806"/>
      <c r="J55" s="806"/>
      <c r="K55" s="806"/>
      <c r="L55" s="806"/>
      <c r="M55" s="806"/>
      <c r="N55" s="806"/>
      <c r="O55" s="806"/>
      <c r="P55" s="806"/>
      <c r="Q55" s="806"/>
      <c r="R55" s="806"/>
    </row>
    <row r="56" spans="1:18" ht="41.25" customHeight="1">
      <c r="A56" s="468" t="s">
        <v>216</v>
      </c>
      <c r="B56" s="806" t="s">
        <v>656</v>
      </c>
      <c r="C56" s="806"/>
      <c r="D56" s="806"/>
      <c r="E56" s="806"/>
      <c r="F56" s="327"/>
      <c r="G56" s="806" t="s">
        <v>653</v>
      </c>
      <c r="H56" s="806"/>
      <c r="I56" s="806"/>
      <c r="J56" s="806"/>
      <c r="K56" s="806"/>
      <c r="L56" s="806"/>
      <c r="M56" s="806"/>
      <c r="N56" s="806"/>
      <c r="O56" s="806"/>
      <c r="P56" s="806"/>
      <c r="Q56" s="806"/>
      <c r="R56" s="806"/>
    </row>
    <row r="57" spans="1:18" ht="41.25" customHeight="1">
      <c r="A57" s="468" t="s">
        <v>217</v>
      </c>
      <c r="B57" s="806" t="s">
        <v>656</v>
      </c>
      <c r="C57" s="806"/>
      <c r="D57" s="806"/>
      <c r="E57" s="806"/>
      <c r="F57" s="327"/>
      <c r="G57" s="806" t="s">
        <v>653</v>
      </c>
      <c r="H57" s="806"/>
      <c r="I57" s="806"/>
      <c r="J57" s="806"/>
      <c r="K57" s="806"/>
      <c r="L57" s="806"/>
      <c r="M57" s="806"/>
      <c r="N57" s="806"/>
      <c r="O57" s="806"/>
      <c r="P57" s="806"/>
      <c r="Q57" s="806"/>
      <c r="R57" s="806"/>
    </row>
    <row r="58" spans="1:18" ht="41.25" customHeight="1">
      <c r="A58" s="468" t="s">
        <v>218</v>
      </c>
      <c r="B58" s="806" t="s">
        <v>656</v>
      </c>
      <c r="C58" s="806"/>
      <c r="D58" s="806"/>
      <c r="E58" s="806"/>
      <c r="F58" s="327"/>
      <c r="G58" s="806" t="s">
        <v>653</v>
      </c>
      <c r="H58" s="806"/>
      <c r="I58" s="806"/>
      <c r="J58" s="806"/>
      <c r="K58" s="806"/>
      <c r="L58" s="806"/>
      <c r="M58" s="806"/>
      <c r="N58" s="806"/>
      <c r="O58" s="806"/>
      <c r="P58" s="806"/>
      <c r="Q58" s="806"/>
      <c r="R58" s="806"/>
    </row>
    <row r="59" spans="1:18" ht="41.25" customHeight="1">
      <c r="A59" s="468" t="s">
        <v>219</v>
      </c>
      <c r="B59" s="806" t="s">
        <v>656</v>
      </c>
      <c r="C59" s="806"/>
      <c r="D59" s="806"/>
      <c r="E59" s="806"/>
      <c r="F59" s="327"/>
      <c r="G59" s="806" t="s">
        <v>653</v>
      </c>
      <c r="H59" s="806"/>
      <c r="I59" s="806"/>
      <c r="J59" s="806"/>
      <c r="K59" s="806"/>
      <c r="L59" s="806"/>
      <c r="M59" s="806"/>
      <c r="N59" s="806"/>
      <c r="O59" s="806"/>
      <c r="P59" s="806"/>
      <c r="Q59" s="806"/>
      <c r="R59" s="806"/>
    </row>
    <row r="60" spans="1:18" ht="41.25" customHeight="1">
      <c r="A60" s="468" t="s">
        <v>220</v>
      </c>
      <c r="B60" s="806" t="s">
        <v>656</v>
      </c>
      <c r="C60" s="806"/>
      <c r="D60" s="806"/>
      <c r="E60" s="806"/>
      <c r="F60" s="327"/>
      <c r="G60" s="806" t="s">
        <v>653</v>
      </c>
      <c r="H60" s="806"/>
      <c r="I60" s="806"/>
      <c r="J60" s="806"/>
      <c r="K60" s="806"/>
      <c r="L60" s="806"/>
      <c r="M60" s="806"/>
      <c r="N60" s="806"/>
      <c r="O60" s="806"/>
      <c r="P60" s="806"/>
      <c r="Q60" s="806"/>
      <c r="R60" s="806"/>
    </row>
    <row r="61" spans="1:18" ht="41.25" customHeight="1">
      <c r="A61" s="468" t="s">
        <v>221</v>
      </c>
      <c r="B61" s="806"/>
      <c r="C61" s="806"/>
      <c r="D61" s="806"/>
      <c r="E61" s="806"/>
      <c r="F61" s="327"/>
      <c r="G61" s="806"/>
      <c r="H61" s="806"/>
      <c r="I61" s="806"/>
      <c r="J61" s="806"/>
      <c r="K61" s="806"/>
      <c r="L61" s="806"/>
      <c r="M61" s="806"/>
      <c r="N61" s="806"/>
      <c r="O61" s="806"/>
      <c r="P61" s="806"/>
      <c r="Q61" s="806"/>
      <c r="R61" s="806"/>
    </row>
    <row r="62" spans="1:18" ht="41.25" customHeight="1">
      <c r="A62" s="468" t="s">
        <v>222</v>
      </c>
      <c r="B62" s="806"/>
      <c r="C62" s="806"/>
      <c r="D62" s="806"/>
      <c r="E62" s="806"/>
      <c r="F62" s="327"/>
      <c r="G62" s="806"/>
      <c r="H62" s="806"/>
      <c r="I62" s="806"/>
      <c r="J62" s="806"/>
      <c r="K62" s="806"/>
      <c r="L62" s="806"/>
      <c r="M62" s="806"/>
      <c r="N62" s="806"/>
      <c r="O62" s="806"/>
      <c r="P62" s="806"/>
      <c r="Q62" s="806"/>
      <c r="R62" s="806"/>
    </row>
    <row r="63" spans="1:18" ht="41.25" customHeight="1">
      <c r="A63" s="468" t="s">
        <v>223</v>
      </c>
      <c r="B63" s="806"/>
      <c r="C63" s="806"/>
      <c r="D63" s="806"/>
      <c r="E63" s="806"/>
      <c r="F63" s="327"/>
      <c r="G63" s="806"/>
      <c r="H63" s="806"/>
      <c r="I63" s="806"/>
      <c r="J63" s="806"/>
      <c r="K63" s="806"/>
      <c r="L63" s="806"/>
      <c r="M63" s="806"/>
      <c r="N63" s="806"/>
      <c r="O63" s="806"/>
      <c r="P63" s="806"/>
      <c r="Q63" s="806"/>
      <c r="R63" s="806"/>
    </row>
    <row r="65" spans="2:14">
      <c r="B65" s="469"/>
      <c r="C65" s="472" t="s">
        <v>259</v>
      </c>
      <c r="D65" s="472" t="s">
        <v>260</v>
      </c>
      <c r="E65" s="472" t="s">
        <v>261</v>
      </c>
      <c r="F65" s="472" t="s">
        <v>215</v>
      </c>
      <c r="G65" s="472" t="s">
        <v>263</v>
      </c>
      <c r="H65" s="472" t="s">
        <v>264</v>
      </c>
      <c r="I65" s="472" t="s">
        <v>265</v>
      </c>
      <c r="J65" s="472" t="s">
        <v>266</v>
      </c>
      <c r="K65" s="472" t="s">
        <v>267</v>
      </c>
      <c r="L65" s="472" t="s">
        <v>268</v>
      </c>
      <c r="M65" s="472" t="s">
        <v>269</v>
      </c>
      <c r="N65" s="472" t="s">
        <v>270</v>
      </c>
    </row>
    <row r="66" spans="2:14" ht="30">
      <c r="B66" s="469" t="s">
        <v>253</v>
      </c>
      <c r="C66" s="473">
        <f>+G7</f>
        <v>4.0999999999999996</v>
      </c>
      <c r="D66" s="473">
        <f t="shared" ref="D66:F66" si="1">+H7</f>
        <v>3.9</v>
      </c>
      <c r="E66" s="473">
        <f t="shared" si="1"/>
        <v>3.8</v>
      </c>
      <c r="F66" s="473">
        <f t="shared" si="1"/>
        <v>3.7</v>
      </c>
      <c r="G66" s="473">
        <f t="shared" ref="G66" si="2">+K7</f>
        <v>3.8</v>
      </c>
      <c r="H66" s="473">
        <f t="shared" ref="H66:I66" si="3">+L7</f>
        <v>4</v>
      </c>
      <c r="I66" s="473">
        <f t="shared" si="3"/>
        <v>3.6</v>
      </c>
      <c r="J66" s="473">
        <f t="shared" ref="J66" si="4">+N7</f>
        <v>3.8</v>
      </c>
      <c r="K66" s="473">
        <f t="shared" ref="K66:L66" si="5">+O7</f>
        <v>3.7</v>
      </c>
      <c r="L66" s="473">
        <f t="shared" si="5"/>
        <v>0</v>
      </c>
      <c r="M66" s="473">
        <f t="shared" ref="M66" si="6">+Q7</f>
        <v>0</v>
      </c>
      <c r="N66" s="473">
        <f t="shared" ref="N66" si="7">+R7</f>
        <v>0</v>
      </c>
    </row>
    <row r="67" spans="2:14">
      <c r="B67" s="469" t="s">
        <v>459</v>
      </c>
      <c r="C67" s="326">
        <v>6</v>
      </c>
      <c r="D67" s="326">
        <v>6</v>
      </c>
      <c r="E67" s="326">
        <v>6</v>
      </c>
      <c r="F67" s="326">
        <v>6</v>
      </c>
      <c r="G67" s="326">
        <v>6</v>
      </c>
      <c r="H67" s="326">
        <v>6</v>
      </c>
      <c r="I67" s="326">
        <v>6</v>
      </c>
      <c r="J67" s="326">
        <v>6</v>
      </c>
      <c r="K67" s="326">
        <v>6</v>
      </c>
      <c r="L67" s="326">
        <v>6</v>
      </c>
      <c r="M67" s="326">
        <v>6</v>
      </c>
      <c r="N67" s="326">
        <v>6</v>
      </c>
    </row>
    <row r="68" spans="2:14">
      <c r="B68" s="469"/>
      <c r="C68" s="472" t="s">
        <v>259</v>
      </c>
      <c r="D68" s="472" t="s">
        <v>260</v>
      </c>
      <c r="E68" s="472" t="s">
        <v>261</v>
      </c>
      <c r="F68" s="472" t="s">
        <v>215</v>
      </c>
      <c r="G68" s="472" t="s">
        <v>263</v>
      </c>
      <c r="H68" s="472" t="s">
        <v>264</v>
      </c>
      <c r="I68" s="472" t="s">
        <v>265</v>
      </c>
      <c r="J68" s="472" t="s">
        <v>266</v>
      </c>
      <c r="K68" s="472" t="s">
        <v>267</v>
      </c>
      <c r="L68" s="472" t="s">
        <v>268</v>
      </c>
      <c r="M68" s="472" t="s">
        <v>269</v>
      </c>
      <c r="N68" s="472" t="s">
        <v>270</v>
      </c>
    </row>
    <row r="69" spans="2:14" ht="60">
      <c r="B69" s="469" t="s">
        <v>251</v>
      </c>
      <c r="C69" s="474">
        <f>+G10</f>
        <v>140</v>
      </c>
      <c r="D69" s="474">
        <f t="shared" ref="D69:F69" si="8">+H10</f>
        <v>150</v>
      </c>
      <c r="E69" s="474">
        <f t="shared" si="8"/>
        <v>130</v>
      </c>
      <c r="F69" s="474">
        <f t="shared" si="8"/>
        <v>135</v>
      </c>
      <c r="G69" s="474">
        <f t="shared" ref="G69" si="9">+K10</f>
        <v>180</v>
      </c>
      <c r="H69" s="474">
        <f t="shared" ref="H69:I69" si="10">+L10</f>
        <v>160</v>
      </c>
      <c r="I69" s="474">
        <f t="shared" si="10"/>
        <v>150</v>
      </c>
      <c r="J69" s="474">
        <f t="shared" ref="J69" si="11">+N10</f>
        <v>170</v>
      </c>
      <c r="K69" s="474">
        <f t="shared" ref="K69:L69" si="12">+O10</f>
        <v>160</v>
      </c>
      <c r="L69" s="474">
        <f t="shared" si="12"/>
        <v>0</v>
      </c>
      <c r="M69" s="474">
        <f t="shared" ref="M69" si="13">+Q10</f>
        <v>0</v>
      </c>
      <c r="N69" s="474">
        <f t="shared" ref="N69" si="14">+R10</f>
        <v>0</v>
      </c>
    </row>
    <row r="70" spans="2:14">
      <c r="B70" s="469" t="s">
        <v>460</v>
      </c>
      <c r="C70" s="326">
        <v>200</v>
      </c>
      <c r="D70" s="326">
        <v>200</v>
      </c>
      <c r="E70" s="326">
        <v>200</v>
      </c>
      <c r="F70" s="326">
        <v>200</v>
      </c>
      <c r="G70" s="326">
        <v>200</v>
      </c>
      <c r="H70" s="326">
        <v>200</v>
      </c>
      <c r="I70" s="326">
        <v>200</v>
      </c>
      <c r="J70" s="326">
        <v>200</v>
      </c>
      <c r="K70" s="326">
        <v>200</v>
      </c>
      <c r="L70" s="326">
        <v>200</v>
      </c>
      <c r="M70" s="326">
        <v>200</v>
      </c>
      <c r="N70" s="326">
        <v>200</v>
      </c>
    </row>
    <row r="71" spans="2:14">
      <c r="B71" s="469"/>
      <c r="C71" s="472" t="s">
        <v>259</v>
      </c>
      <c r="D71" s="472" t="s">
        <v>260</v>
      </c>
      <c r="E71" s="472" t="s">
        <v>261</v>
      </c>
      <c r="F71" s="472" t="s">
        <v>215</v>
      </c>
      <c r="G71" s="472" t="s">
        <v>263</v>
      </c>
      <c r="H71" s="472" t="s">
        <v>264</v>
      </c>
      <c r="I71" s="472" t="s">
        <v>265</v>
      </c>
      <c r="J71" s="472" t="s">
        <v>266</v>
      </c>
      <c r="K71" s="472" t="s">
        <v>267</v>
      </c>
      <c r="L71" s="472" t="s">
        <v>268</v>
      </c>
      <c r="M71" s="472" t="s">
        <v>269</v>
      </c>
      <c r="N71" s="472" t="s">
        <v>270</v>
      </c>
    </row>
    <row r="72" spans="2:14">
      <c r="B72" s="469" t="s">
        <v>535</v>
      </c>
      <c r="C72" s="473">
        <f>+G13</f>
        <v>6.8</v>
      </c>
      <c r="D72" s="473">
        <f t="shared" ref="D72:N72" si="15">+H13</f>
        <v>6.7</v>
      </c>
      <c r="E72" s="473">
        <f t="shared" si="15"/>
        <v>6.9</v>
      </c>
      <c r="F72" s="473">
        <f t="shared" si="15"/>
        <v>6.9</v>
      </c>
      <c r="G72" s="473">
        <f t="shared" si="15"/>
        <v>7.1</v>
      </c>
      <c r="H72" s="473">
        <f t="shared" si="15"/>
        <v>6.8</v>
      </c>
      <c r="I72" s="473">
        <f t="shared" si="15"/>
        <v>6.8</v>
      </c>
      <c r="J72" s="473">
        <f t="shared" si="15"/>
        <v>6.7</v>
      </c>
      <c r="K72" s="473">
        <f t="shared" si="15"/>
        <v>6.7</v>
      </c>
      <c r="L72" s="473">
        <f t="shared" si="15"/>
        <v>0</v>
      </c>
      <c r="M72" s="473">
        <f t="shared" si="15"/>
        <v>0</v>
      </c>
      <c r="N72" s="473">
        <f t="shared" si="15"/>
        <v>0</v>
      </c>
    </row>
    <row r="73" spans="2:14">
      <c r="B73" s="469" t="s">
        <v>537</v>
      </c>
      <c r="C73" s="326">
        <v>6.5</v>
      </c>
      <c r="D73" s="326">
        <v>6.5</v>
      </c>
      <c r="E73" s="326">
        <v>6.5</v>
      </c>
      <c r="F73" s="326">
        <v>6.5</v>
      </c>
      <c r="G73" s="326">
        <v>6.5</v>
      </c>
      <c r="H73" s="326">
        <v>6.5</v>
      </c>
      <c r="I73" s="326">
        <v>6.5</v>
      </c>
      <c r="J73" s="326">
        <v>6.5</v>
      </c>
      <c r="K73" s="326">
        <v>6.5</v>
      </c>
      <c r="L73" s="326">
        <v>6.5</v>
      </c>
      <c r="M73" s="326">
        <v>6.5</v>
      </c>
      <c r="N73" s="326">
        <v>6.5</v>
      </c>
    </row>
    <row r="74" spans="2:14">
      <c r="B74" s="469" t="s">
        <v>536</v>
      </c>
      <c r="C74" s="326">
        <v>9</v>
      </c>
      <c r="D74" s="326">
        <v>9</v>
      </c>
      <c r="E74" s="326">
        <v>9</v>
      </c>
      <c r="F74" s="326">
        <v>9</v>
      </c>
      <c r="G74" s="326">
        <v>9</v>
      </c>
      <c r="H74" s="326">
        <v>9</v>
      </c>
      <c r="I74" s="326">
        <v>9</v>
      </c>
      <c r="J74" s="326">
        <v>9</v>
      </c>
      <c r="K74" s="326">
        <v>9</v>
      </c>
      <c r="L74" s="326">
        <v>9</v>
      </c>
      <c r="M74" s="326">
        <v>9</v>
      </c>
      <c r="N74" s="326">
        <v>9</v>
      </c>
    </row>
    <row r="75" spans="2:14">
      <c r="B75" s="468"/>
      <c r="C75" s="472" t="s">
        <v>259</v>
      </c>
      <c r="D75" s="472" t="s">
        <v>260</v>
      </c>
      <c r="E75" s="472" t="s">
        <v>261</v>
      </c>
      <c r="F75" s="472" t="s">
        <v>215</v>
      </c>
      <c r="G75" s="472" t="s">
        <v>263</v>
      </c>
      <c r="H75" s="472" t="s">
        <v>264</v>
      </c>
      <c r="I75" s="472" t="s">
        <v>265</v>
      </c>
      <c r="J75" s="472" t="s">
        <v>266</v>
      </c>
      <c r="K75" s="472" t="s">
        <v>267</v>
      </c>
      <c r="L75" s="472" t="s">
        <v>268</v>
      </c>
      <c r="M75" s="472" t="s">
        <v>269</v>
      </c>
      <c r="N75" s="472" t="s">
        <v>270</v>
      </c>
    </row>
    <row r="76" spans="2:14">
      <c r="B76" s="274" t="s">
        <v>206</v>
      </c>
      <c r="C76" s="273">
        <f>+G16</f>
        <v>1</v>
      </c>
      <c r="D76" s="273">
        <f t="shared" ref="D76:N76" si="16">+H16</f>
        <v>1</v>
      </c>
      <c r="E76" s="273">
        <f t="shared" si="16"/>
        <v>1</v>
      </c>
      <c r="F76" s="273">
        <f t="shared" si="16"/>
        <v>1</v>
      </c>
      <c r="G76" s="273">
        <f t="shared" si="16"/>
        <v>1</v>
      </c>
      <c r="H76" s="273">
        <f t="shared" si="16"/>
        <v>1</v>
      </c>
      <c r="I76" s="273">
        <f t="shared" si="16"/>
        <v>1</v>
      </c>
      <c r="J76" s="273">
        <f t="shared" si="16"/>
        <v>1</v>
      </c>
      <c r="K76" s="273">
        <f t="shared" si="16"/>
        <v>1</v>
      </c>
      <c r="L76" s="273">
        <f t="shared" si="16"/>
        <v>0</v>
      </c>
      <c r="M76" s="273">
        <f t="shared" si="16"/>
        <v>0</v>
      </c>
      <c r="N76" s="273">
        <f t="shared" si="16"/>
        <v>0</v>
      </c>
    </row>
    <row r="77" spans="2:14">
      <c r="B77" s="275" t="s">
        <v>154</v>
      </c>
      <c r="C77" s="273">
        <f>+$D$16</f>
        <v>1</v>
      </c>
      <c r="D77" s="273">
        <f t="shared" ref="D77:N77" si="17">+$D$16</f>
        <v>1</v>
      </c>
      <c r="E77" s="273">
        <f t="shared" si="17"/>
        <v>1</v>
      </c>
      <c r="F77" s="273">
        <f t="shared" si="17"/>
        <v>1</v>
      </c>
      <c r="G77" s="273">
        <f t="shared" si="17"/>
        <v>1</v>
      </c>
      <c r="H77" s="273">
        <f t="shared" si="17"/>
        <v>1</v>
      </c>
      <c r="I77" s="273">
        <f t="shared" si="17"/>
        <v>1</v>
      </c>
      <c r="J77" s="273">
        <f t="shared" si="17"/>
        <v>1</v>
      </c>
      <c r="K77" s="273">
        <f t="shared" si="17"/>
        <v>1</v>
      </c>
      <c r="L77" s="273">
        <f t="shared" si="17"/>
        <v>1</v>
      </c>
      <c r="M77" s="273">
        <f t="shared" si="17"/>
        <v>1</v>
      </c>
      <c r="N77" s="273">
        <f t="shared" si="17"/>
        <v>1</v>
      </c>
    </row>
  </sheetData>
  <mergeCells count="31">
    <mergeCell ref="G55:R55"/>
    <mergeCell ref="B60:E60"/>
    <mergeCell ref="B62:E62"/>
    <mergeCell ref="B63:E63"/>
    <mergeCell ref="B55:E55"/>
    <mergeCell ref="B56:E56"/>
    <mergeCell ref="B57:E57"/>
    <mergeCell ref="B58:E58"/>
    <mergeCell ref="B59:E59"/>
    <mergeCell ref="B52:E52"/>
    <mergeCell ref="B53:E53"/>
    <mergeCell ref="B54:E54"/>
    <mergeCell ref="G52:R52"/>
    <mergeCell ref="G53:R53"/>
    <mergeCell ref="G54:R54"/>
    <mergeCell ref="A13:A15"/>
    <mergeCell ref="A2:B2"/>
    <mergeCell ref="C2:N2"/>
    <mergeCell ref="G63:R63"/>
    <mergeCell ref="G56:R56"/>
    <mergeCell ref="G57:R57"/>
    <mergeCell ref="G58:R58"/>
    <mergeCell ref="G59:R59"/>
    <mergeCell ref="G60:R60"/>
    <mergeCell ref="G61:R61"/>
    <mergeCell ref="G62:R62"/>
    <mergeCell ref="A7:A9"/>
    <mergeCell ref="A10:A12"/>
    <mergeCell ref="B51:E51"/>
    <mergeCell ref="G51:R51"/>
    <mergeCell ref="B61:E61"/>
  </mergeCells>
  <hyperlinks>
    <hyperlink ref="S5" location="'Matriz Sta Ana'!A1" display="Volver" xr:uid="{6633D43C-EAEA-4973-8F1B-EE9BB57826B2}"/>
  </hyperlinks>
  <pageMargins left="0.7" right="0.7" top="0.75" bottom="0.75" header="0.3" footer="0.3"/>
  <pageSetup scale="67" fitToHeight="0" orientation="landscape" r:id="rId1"/>
  <rowBreaks count="2" manualBreakCount="2">
    <brk id="50" max="16383" man="1"/>
    <brk id="63" max="17" man="1"/>
  </rowBreaks>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35DF0-CA27-4613-8DAF-E250773682FE}">
  <sheetPr>
    <tabColor rgb="FFFFFF00"/>
  </sheetPr>
  <dimension ref="A1:U81"/>
  <sheetViews>
    <sheetView topLeftCell="A31" zoomScale="85" zoomScaleNormal="85" workbookViewId="0">
      <selection activeCell="Q6" sqref="Q6"/>
    </sheetView>
  </sheetViews>
  <sheetFormatPr baseColWidth="10" defaultColWidth="11.42578125" defaultRowHeight="16.5"/>
  <cols>
    <col min="1" max="1" width="7.42578125" style="5" customWidth="1"/>
    <col min="2" max="2" width="33.5703125" style="5" customWidth="1"/>
    <col min="3" max="3" width="11.42578125" style="4" bestFit="1" customWidth="1"/>
    <col min="4" max="4" width="18.140625" style="4" customWidth="1"/>
    <col min="5" max="18" width="9.85546875" style="4" customWidth="1"/>
    <col min="19" max="16384" width="11.42578125" style="4"/>
  </cols>
  <sheetData>
    <row r="1" spans="1:17" ht="21.75" customHeight="1">
      <c r="A1" s="719" t="s">
        <v>113</v>
      </c>
      <c r="B1" s="720"/>
      <c r="C1" s="720"/>
      <c r="D1" s="720"/>
      <c r="E1" s="720"/>
      <c r="F1" s="720"/>
      <c r="G1" s="720"/>
      <c r="H1" s="720"/>
      <c r="I1" s="720"/>
      <c r="J1" s="721"/>
      <c r="K1" s="728" t="s">
        <v>114</v>
      </c>
      <c r="L1" s="729"/>
      <c r="M1" s="728"/>
      <c r="N1" s="729"/>
    </row>
    <row r="2" spans="1:17" ht="21.75" customHeight="1">
      <c r="A2" s="722"/>
      <c r="B2" s="723"/>
      <c r="C2" s="723"/>
      <c r="D2" s="723"/>
      <c r="E2" s="723"/>
      <c r="F2" s="723"/>
      <c r="G2" s="723"/>
      <c r="H2" s="723"/>
      <c r="I2" s="723"/>
      <c r="J2" s="724"/>
      <c r="K2" s="728" t="s">
        <v>115</v>
      </c>
      <c r="L2" s="729"/>
      <c r="M2" s="728">
        <v>1</v>
      </c>
      <c r="N2" s="729"/>
    </row>
    <row r="3" spans="1:17" ht="21.75" customHeight="1">
      <c r="A3" s="722"/>
      <c r="B3" s="723"/>
      <c r="C3" s="723"/>
      <c r="D3" s="723"/>
      <c r="E3" s="723"/>
      <c r="F3" s="723"/>
      <c r="G3" s="723"/>
      <c r="H3" s="723"/>
      <c r="I3" s="723"/>
      <c r="J3" s="724"/>
      <c r="K3" s="728" t="s">
        <v>116</v>
      </c>
      <c r="L3" s="729"/>
      <c r="M3" s="730">
        <v>43464</v>
      </c>
      <c r="N3" s="731"/>
    </row>
    <row r="4" spans="1:17" ht="21.75" customHeight="1">
      <c r="A4" s="725"/>
      <c r="B4" s="726"/>
      <c r="C4" s="726"/>
      <c r="D4" s="726"/>
      <c r="E4" s="726"/>
      <c r="F4" s="726"/>
      <c r="G4" s="726"/>
      <c r="H4" s="726"/>
      <c r="I4" s="726"/>
      <c r="J4" s="727"/>
      <c r="K4" s="728" t="s">
        <v>117</v>
      </c>
      <c r="L4" s="729"/>
      <c r="M4" s="732" t="s">
        <v>118</v>
      </c>
      <c r="N4" s="733"/>
    </row>
    <row r="5" spans="1:17" ht="27.75" customHeight="1">
      <c r="M5" s="6"/>
      <c r="N5" s="7"/>
      <c r="O5" s="52" t="s">
        <v>120</v>
      </c>
    </row>
    <row r="6" spans="1:17" ht="17.25" customHeight="1">
      <c r="A6" s="5" t="s">
        <v>121</v>
      </c>
      <c r="C6" s="734" t="s">
        <v>539</v>
      </c>
      <c r="D6" s="734"/>
      <c r="E6" s="734"/>
      <c r="F6" s="734"/>
      <c r="G6" s="734"/>
      <c r="H6" s="734"/>
      <c r="I6" s="734"/>
      <c r="J6" s="734"/>
      <c r="K6" s="734"/>
      <c r="L6" s="734"/>
      <c r="M6" s="734"/>
      <c r="N6" s="734"/>
      <c r="Q6" s="52" t="s">
        <v>120</v>
      </c>
    </row>
    <row r="7" spans="1:17" ht="17.25" customHeight="1">
      <c r="A7" s="5" t="s">
        <v>3</v>
      </c>
      <c r="C7" s="700" t="s">
        <v>540</v>
      </c>
      <c r="D7" s="700"/>
      <c r="E7" s="700"/>
      <c r="F7" s="700"/>
      <c r="G7" s="700"/>
      <c r="H7" s="700"/>
      <c r="I7" s="700"/>
      <c r="J7" s="700"/>
      <c r="K7" s="700"/>
      <c r="L7" s="700"/>
      <c r="M7" s="700"/>
      <c r="N7" s="700"/>
    </row>
    <row r="8" spans="1:17">
      <c r="A8" s="5" t="s">
        <v>122</v>
      </c>
      <c r="C8" s="8" t="s">
        <v>123</v>
      </c>
      <c r="D8" s="8"/>
      <c r="E8" s="8"/>
      <c r="F8" s="8"/>
      <c r="G8" s="8"/>
      <c r="H8" s="8"/>
      <c r="I8" s="8"/>
      <c r="J8" s="8"/>
      <c r="K8" s="8"/>
      <c r="L8" s="8"/>
      <c r="M8" s="8"/>
      <c r="N8" s="8"/>
    </row>
    <row r="9" spans="1:17" ht="20.25" customHeight="1">
      <c r="A9" s="5" t="s">
        <v>124</v>
      </c>
      <c r="C9" s="700" t="s">
        <v>43</v>
      </c>
      <c r="D9" s="700"/>
      <c r="E9" s="700"/>
      <c r="F9" s="700"/>
      <c r="G9" s="700"/>
      <c r="H9" s="700"/>
      <c r="I9" s="700"/>
      <c r="J9" s="700"/>
      <c r="K9" s="700"/>
      <c r="L9" s="700"/>
      <c r="M9" s="700"/>
      <c r="N9" s="700"/>
    </row>
    <row r="10" spans="1:17">
      <c r="A10" s="5" t="s">
        <v>5</v>
      </c>
      <c r="C10" s="64" t="s">
        <v>77</v>
      </c>
      <c r="D10" s="64"/>
      <c r="E10" s="64"/>
      <c r="F10" s="64"/>
      <c r="G10" s="64"/>
      <c r="H10" s="64"/>
      <c r="I10" s="64"/>
      <c r="J10" s="64"/>
      <c r="K10" s="64"/>
      <c r="L10" s="64"/>
      <c r="M10" s="64"/>
      <c r="N10" s="64"/>
    </row>
    <row r="11" spans="1:17">
      <c r="A11" s="5" t="s">
        <v>6</v>
      </c>
      <c r="C11" s="64" t="s">
        <v>29</v>
      </c>
      <c r="D11" s="64"/>
      <c r="E11" s="64"/>
      <c r="F11" s="64"/>
      <c r="G11" s="64"/>
      <c r="H11" s="64"/>
      <c r="I11" s="64"/>
      <c r="J11" s="64"/>
      <c r="K11" s="64"/>
      <c r="L11" s="64"/>
      <c r="M11" s="64"/>
      <c r="N11" s="64"/>
    </row>
    <row r="12" spans="1:17" ht="18" customHeight="1">
      <c r="A12" s="5" t="s">
        <v>7</v>
      </c>
      <c r="C12" s="700" t="s">
        <v>541</v>
      </c>
      <c r="D12" s="700"/>
      <c r="E12" s="700"/>
      <c r="F12" s="700"/>
      <c r="G12" s="700"/>
      <c r="H12" s="700"/>
      <c r="I12" s="700"/>
      <c r="J12" s="700"/>
      <c r="K12" s="700"/>
      <c r="L12" s="700"/>
      <c r="M12" s="700"/>
      <c r="N12" s="700"/>
    </row>
    <row r="13" spans="1:17" ht="30" customHeight="1">
      <c r="A13" s="737" t="s">
        <v>125</v>
      </c>
      <c r="B13" s="737"/>
      <c r="C13" s="700" t="s">
        <v>302</v>
      </c>
      <c r="D13" s="700"/>
      <c r="E13" s="700"/>
      <c r="F13" s="700"/>
      <c r="G13" s="700"/>
      <c r="H13" s="700"/>
      <c r="I13" s="700"/>
      <c r="J13" s="700"/>
      <c r="K13" s="700"/>
      <c r="L13" s="700"/>
      <c r="M13" s="700"/>
      <c r="N13" s="700"/>
    </row>
    <row r="14" spans="1:17" ht="18" customHeight="1">
      <c r="A14" s="5" t="s">
        <v>127</v>
      </c>
      <c r="C14" s="700" t="s">
        <v>542</v>
      </c>
      <c r="D14" s="700"/>
      <c r="E14" s="700"/>
      <c r="F14" s="700"/>
      <c r="G14" s="700"/>
      <c r="H14" s="700"/>
      <c r="I14" s="700"/>
      <c r="J14" s="700"/>
      <c r="K14" s="700"/>
      <c r="L14" s="700"/>
      <c r="M14" s="700"/>
      <c r="N14" s="700"/>
    </row>
    <row r="15" spans="1:17" ht="30" customHeight="1">
      <c r="A15" s="5" t="s">
        <v>10</v>
      </c>
      <c r="C15" s="701" t="s">
        <v>249</v>
      </c>
      <c r="D15" s="701"/>
      <c r="E15" s="701"/>
      <c r="F15" s="701"/>
      <c r="G15" s="701"/>
      <c r="H15" s="701"/>
      <c r="I15" s="701"/>
      <c r="J15" s="701"/>
      <c r="K15" s="701"/>
      <c r="L15" s="701"/>
      <c r="M15" s="701"/>
      <c r="N15" s="701"/>
    </row>
    <row r="16" spans="1:17" ht="24.75" customHeight="1">
      <c r="A16" s="707" t="s">
        <v>443</v>
      </c>
      <c r="B16" s="707"/>
      <c r="C16" s="708" t="s">
        <v>714</v>
      </c>
      <c r="D16" s="709"/>
      <c r="E16" s="709"/>
      <c r="F16" s="709"/>
      <c r="G16" s="709"/>
      <c r="H16" s="709"/>
      <c r="I16" s="709"/>
      <c r="J16" s="709"/>
      <c r="K16" s="709"/>
      <c r="L16" s="709"/>
      <c r="M16" s="709"/>
      <c r="N16" s="709"/>
    </row>
    <row r="17" spans="1:15" ht="24.75" customHeight="1">
      <c r="C17" s="5"/>
      <c r="D17" s="5"/>
      <c r="E17" s="5"/>
      <c r="F17" s="5"/>
      <c r="G17" s="5"/>
      <c r="H17" s="5"/>
      <c r="I17" s="5"/>
      <c r="J17" s="5"/>
      <c r="K17" s="5"/>
      <c r="L17" s="5"/>
      <c r="M17" s="5"/>
      <c r="N17" s="5"/>
    </row>
    <row r="18" spans="1:15">
      <c r="A18" s="4"/>
      <c r="B18" s="10" t="s">
        <v>129</v>
      </c>
      <c r="C18" s="11" t="s">
        <v>130</v>
      </c>
      <c r="D18" s="11" t="s">
        <v>131</v>
      </c>
      <c r="E18" s="11" t="s">
        <v>132</v>
      </c>
      <c r="F18" s="11" t="s">
        <v>133</v>
      </c>
      <c r="G18" s="11" t="s">
        <v>134</v>
      </c>
      <c r="H18" s="11" t="s">
        <v>135</v>
      </c>
      <c r="I18" s="11" t="s">
        <v>136</v>
      </c>
      <c r="J18" s="11" t="s">
        <v>137</v>
      </c>
      <c r="K18" s="11" t="s">
        <v>138</v>
      </c>
      <c r="L18" s="11" t="s">
        <v>139</v>
      </c>
      <c r="M18" s="11" t="s">
        <v>140</v>
      </c>
      <c r="N18" s="11" t="s">
        <v>141</v>
      </c>
    </row>
    <row r="19" spans="1:15">
      <c r="A19" s="4"/>
      <c r="B19" s="10"/>
      <c r="C19" s="11">
        <v>1</v>
      </c>
      <c r="D19" s="11">
        <v>2</v>
      </c>
      <c r="E19" s="11">
        <v>3</v>
      </c>
      <c r="F19" s="11">
        <v>4</v>
      </c>
      <c r="G19" s="11">
        <v>5</v>
      </c>
      <c r="H19" s="11">
        <v>6</v>
      </c>
      <c r="I19" s="11">
        <v>7</v>
      </c>
      <c r="J19" s="11">
        <v>8</v>
      </c>
      <c r="K19" s="11">
        <v>9</v>
      </c>
      <c r="L19" s="11">
        <v>10</v>
      </c>
      <c r="M19" s="11">
        <v>11</v>
      </c>
      <c r="N19" s="11">
        <v>12</v>
      </c>
    </row>
    <row r="20" spans="1:15" ht="35.25" customHeight="1">
      <c r="A20" s="702" t="s">
        <v>142</v>
      </c>
      <c r="B20" s="758"/>
      <c r="C20" s="311" t="str">
        <f>+E66</f>
        <v>100%</v>
      </c>
      <c r="D20" s="311" t="str">
        <f t="shared" ref="D20:N20" si="0">+F66</f>
        <v>100%</v>
      </c>
      <c r="E20" s="311" t="str">
        <f t="shared" si="0"/>
        <v>100%</v>
      </c>
      <c r="F20" s="311" t="str">
        <f t="shared" si="0"/>
        <v>100%</v>
      </c>
      <c r="G20" s="311" t="str">
        <f t="shared" si="0"/>
        <v>100%</v>
      </c>
      <c r="H20" s="311" t="str">
        <f t="shared" si="0"/>
        <v>100%</v>
      </c>
      <c r="I20" s="311" t="str">
        <f t="shared" si="0"/>
        <v>100%</v>
      </c>
      <c r="J20" s="311" t="str">
        <f t="shared" si="0"/>
        <v>100%</v>
      </c>
      <c r="K20" s="311" t="str">
        <f t="shared" si="0"/>
        <v>100%</v>
      </c>
      <c r="L20" s="311" t="str">
        <f t="shared" si="0"/>
        <v>100%</v>
      </c>
      <c r="M20" s="311" t="str">
        <f t="shared" si="0"/>
        <v>100%</v>
      </c>
      <c r="N20" s="311" t="str">
        <f t="shared" si="0"/>
        <v>100%</v>
      </c>
    </row>
    <row r="21" spans="1:15" ht="42" customHeight="1" thickBot="1">
      <c r="A21" s="510" t="s">
        <v>143</v>
      </c>
      <c r="B21" s="510"/>
      <c r="C21" s="511">
        <v>1</v>
      </c>
      <c r="D21" s="511">
        <v>1</v>
      </c>
      <c r="E21" s="511">
        <v>1</v>
      </c>
      <c r="F21" s="511">
        <v>1</v>
      </c>
      <c r="G21" s="511">
        <v>1</v>
      </c>
      <c r="H21" s="511">
        <v>1</v>
      </c>
      <c r="I21" s="511">
        <v>1</v>
      </c>
      <c r="J21" s="511">
        <v>1</v>
      </c>
      <c r="K21" s="511">
        <v>1</v>
      </c>
      <c r="L21" s="511">
        <v>1</v>
      </c>
      <c r="M21" s="511">
        <v>1</v>
      </c>
      <c r="N21" s="511">
        <v>1</v>
      </c>
    </row>
    <row r="22" spans="1:15" s="19" customFormat="1" ht="409.5" customHeight="1">
      <c r="A22" s="513" t="s">
        <v>144</v>
      </c>
      <c r="B22" s="514"/>
      <c r="C22" s="515"/>
      <c r="D22" s="515"/>
      <c r="E22" s="515"/>
      <c r="F22" s="515"/>
      <c r="G22" s="515"/>
      <c r="H22" s="515"/>
      <c r="I22" s="515"/>
      <c r="J22" s="515"/>
      <c r="K22" s="515"/>
      <c r="L22" s="515"/>
      <c r="M22" s="515"/>
      <c r="N22" s="516"/>
    </row>
    <row r="23" spans="1:15" ht="276" customHeight="1" thickBot="1">
      <c r="A23" s="517"/>
      <c r="B23" s="518"/>
      <c r="C23" s="519"/>
      <c r="D23" s="519"/>
      <c r="E23" s="519"/>
      <c r="F23" s="519"/>
      <c r="G23" s="519"/>
      <c r="H23" s="519"/>
      <c r="I23" s="519"/>
      <c r="J23" s="519"/>
      <c r="K23" s="519"/>
      <c r="L23" s="519"/>
      <c r="M23" s="519"/>
      <c r="N23" s="520"/>
    </row>
    <row r="24" spans="1:15" ht="12" customHeight="1">
      <c r="A24" s="512"/>
      <c r="G24" s="573"/>
      <c r="H24" s="574"/>
      <c r="I24" s="574"/>
      <c r="J24" s="574"/>
      <c r="K24" s="574"/>
      <c r="L24" s="574"/>
      <c r="M24" s="574"/>
      <c r="N24" s="575"/>
    </row>
    <row r="25" spans="1:15">
      <c r="A25" s="576" t="s">
        <v>129</v>
      </c>
      <c r="B25" s="824" t="s">
        <v>145</v>
      </c>
      <c r="C25" s="825"/>
      <c r="D25" s="825"/>
      <c r="E25" s="825"/>
      <c r="F25" s="826"/>
      <c r="G25" s="821" t="s">
        <v>146</v>
      </c>
      <c r="H25" s="822"/>
      <c r="I25" s="822"/>
      <c r="J25" s="822"/>
      <c r="K25" s="822"/>
      <c r="L25" s="822"/>
      <c r="M25" s="822"/>
      <c r="N25" s="823"/>
    </row>
    <row r="26" spans="1:15" s="19" customFormat="1" ht="28.5" customHeight="1">
      <c r="A26" s="324" t="str">
        <f>+IF(C19&gt;0,C18,"")</f>
        <v>ene</v>
      </c>
      <c r="B26" s="809"/>
      <c r="C26" s="810"/>
      <c r="D26" s="810"/>
      <c r="E26" s="810"/>
      <c r="F26" s="811"/>
      <c r="G26" s="809"/>
      <c r="H26" s="810"/>
      <c r="I26" s="810"/>
      <c r="J26" s="810"/>
      <c r="K26" s="810"/>
      <c r="L26" s="810"/>
      <c r="M26" s="810"/>
      <c r="N26" s="811"/>
      <c r="O26" s="577"/>
    </row>
    <row r="27" spans="1:15" s="19" customFormat="1" ht="28.5" customHeight="1">
      <c r="A27" s="325" t="str">
        <f>+IF(D19&gt;0,D18,"")</f>
        <v>feb</v>
      </c>
      <c r="B27" s="809"/>
      <c r="C27" s="810"/>
      <c r="D27" s="810"/>
      <c r="E27" s="810"/>
      <c r="F27" s="811"/>
      <c r="G27" s="809"/>
      <c r="H27" s="810"/>
      <c r="I27" s="810"/>
      <c r="J27" s="810"/>
      <c r="K27" s="810"/>
      <c r="L27" s="810"/>
      <c r="M27" s="810"/>
      <c r="N27" s="811"/>
      <c r="O27" s="577"/>
    </row>
    <row r="28" spans="1:15" s="19" customFormat="1" ht="28.5" customHeight="1">
      <c r="A28" s="325" t="str">
        <f>+IF(E19&gt;0,E18,"")</f>
        <v>mar</v>
      </c>
      <c r="B28" s="809"/>
      <c r="C28" s="810"/>
      <c r="D28" s="810"/>
      <c r="E28" s="810"/>
      <c r="F28" s="811"/>
      <c r="G28" s="809"/>
      <c r="H28" s="810"/>
      <c r="I28" s="810"/>
      <c r="J28" s="810"/>
      <c r="K28" s="810"/>
      <c r="L28" s="810"/>
      <c r="M28" s="810"/>
      <c r="N28" s="811"/>
      <c r="O28" s="577"/>
    </row>
    <row r="29" spans="1:15" s="19" customFormat="1" ht="28.5" customHeight="1">
      <c r="A29" s="325" t="str">
        <f>+IF(F19&gt;0,F18,"")</f>
        <v>abr</v>
      </c>
      <c r="B29" s="809"/>
      <c r="C29" s="810"/>
      <c r="D29" s="810"/>
      <c r="E29" s="810"/>
      <c r="F29" s="811"/>
      <c r="G29" s="809"/>
      <c r="H29" s="810"/>
      <c r="I29" s="810"/>
      <c r="J29" s="810"/>
      <c r="K29" s="810"/>
      <c r="L29" s="810"/>
      <c r="M29" s="810"/>
      <c r="N29" s="811"/>
      <c r="O29" s="577"/>
    </row>
    <row r="30" spans="1:15" s="19" customFormat="1" ht="28.5" customHeight="1">
      <c r="A30" s="325" t="str">
        <f>+IF(G19&gt;0,G18,"")</f>
        <v>may</v>
      </c>
      <c r="B30" s="809"/>
      <c r="C30" s="810"/>
      <c r="D30" s="810"/>
      <c r="E30" s="810"/>
      <c r="F30" s="811"/>
      <c r="G30" s="809"/>
      <c r="H30" s="810"/>
      <c r="I30" s="810"/>
      <c r="J30" s="810"/>
      <c r="K30" s="810"/>
      <c r="L30" s="810"/>
      <c r="M30" s="810"/>
      <c r="N30" s="811"/>
      <c r="O30" s="577"/>
    </row>
    <row r="31" spans="1:15" s="19" customFormat="1" ht="28.5" customHeight="1">
      <c r="A31" s="325" t="str">
        <f>+IF(H19&gt;0,H18,"")</f>
        <v>jun</v>
      </c>
      <c r="B31" s="809"/>
      <c r="C31" s="810"/>
      <c r="D31" s="810"/>
      <c r="E31" s="810"/>
      <c r="F31" s="811"/>
      <c r="G31" s="809"/>
      <c r="H31" s="810"/>
      <c r="I31" s="810"/>
      <c r="J31" s="810"/>
      <c r="K31" s="810"/>
      <c r="L31" s="810"/>
      <c r="M31" s="810"/>
      <c r="N31" s="811"/>
      <c r="O31" s="577"/>
    </row>
    <row r="32" spans="1:15" s="19" customFormat="1" ht="28.5" customHeight="1">
      <c r="A32" s="325" t="str">
        <f>+IF(I19&gt;0,I18,"")</f>
        <v>jul</v>
      </c>
      <c r="B32" s="809"/>
      <c r="C32" s="810"/>
      <c r="D32" s="810"/>
      <c r="E32" s="810"/>
      <c r="F32" s="811"/>
      <c r="G32" s="809"/>
      <c r="H32" s="810"/>
      <c r="I32" s="810"/>
      <c r="J32" s="810"/>
      <c r="K32" s="810"/>
      <c r="L32" s="810"/>
      <c r="M32" s="810"/>
      <c r="N32" s="811"/>
      <c r="O32" s="577"/>
    </row>
    <row r="33" spans="1:19" s="19" customFormat="1" ht="28.5" customHeight="1">
      <c r="A33" s="325" t="str">
        <f>+IF(J19&gt;0,J18,"")</f>
        <v>ago</v>
      </c>
      <c r="B33" s="809"/>
      <c r="C33" s="810"/>
      <c r="D33" s="810"/>
      <c r="E33" s="810"/>
      <c r="F33" s="811"/>
      <c r="G33" s="809"/>
      <c r="H33" s="810"/>
      <c r="I33" s="810"/>
      <c r="J33" s="810"/>
      <c r="K33" s="810"/>
      <c r="L33" s="810"/>
      <c r="M33" s="810"/>
      <c r="N33" s="811"/>
      <c r="O33" s="577"/>
    </row>
    <row r="34" spans="1:19" s="19" customFormat="1" ht="28.5" customHeight="1">
      <c r="A34" s="325" t="str">
        <f>+IF(K19&gt;0,K18,"")</f>
        <v>sep</v>
      </c>
      <c r="B34" s="809"/>
      <c r="C34" s="810"/>
      <c r="D34" s="810"/>
      <c r="E34" s="810"/>
      <c r="F34" s="811"/>
      <c r="G34" s="809"/>
      <c r="H34" s="810"/>
      <c r="I34" s="810"/>
      <c r="J34" s="810"/>
      <c r="K34" s="810"/>
      <c r="L34" s="810"/>
      <c r="M34" s="810"/>
      <c r="N34" s="811"/>
      <c r="O34" s="577"/>
    </row>
    <row r="35" spans="1:19" s="19" customFormat="1" ht="28.5" customHeight="1">
      <c r="A35" s="325" t="str">
        <f>+IF(L19&gt;0,L18,"")</f>
        <v>oct</v>
      </c>
      <c r="B35" s="809"/>
      <c r="C35" s="810"/>
      <c r="D35" s="810"/>
      <c r="E35" s="810"/>
      <c r="F35" s="811"/>
      <c r="G35" s="809"/>
      <c r="H35" s="810"/>
      <c r="I35" s="810"/>
      <c r="J35" s="810"/>
      <c r="K35" s="810"/>
      <c r="L35" s="810"/>
      <c r="M35" s="810"/>
      <c r="N35" s="811"/>
      <c r="O35" s="577"/>
    </row>
    <row r="36" spans="1:19" s="19" customFormat="1" ht="28.5" customHeight="1">
      <c r="A36" s="325" t="str">
        <f>+IF(M19&gt;0,M18,"")</f>
        <v>nov</v>
      </c>
      <c r="B36" s="809"/>
      <c r="C36" s="810"/>
      <c r="D36" s="810"/>
      <c r="E36" s="810"/>
      <c r="F36" s="811"/>
      <c r="G36" s="809"/>
      <c r="H36" s="810"/>
      <c r="I36" s="810"/>
      <c r="J36" s="810"/>
      <c r="K36" s="810"/>
      <c r="L36" s="810"/>
      <c r="M36" s="810"/>
      <c r="N36" s="811"/>
      <c r="O36" s="577"/>
    </row>
    <row r="37" spans="1:19" s="19" customFormat="1" ht="28.5" customHeight="1">
      <c r="A37" s="53" t="str">
        <f>+IF(N19&gt;0,N18,"")</f>
        <v>dic</v>
      </c>
      <c r="B37" s="809"/>
      <c r="C37" s="810"/>
      <c r="D37" s="810"/>
      <c r="E37" s="810"/>
      <c r="F37" s="811"/>
      <c r="G37" s="809"/>
      <c r="H37" s="810"/>
      <c r="I37" s="810"/>
      <c r="J37" s="810"/>
      <c r="K37" s="810"/>
      <c r="L37" s="810"/>
      <c r="M37" s="810"/>
      <c r="N37" s="811"/>
      <c r="O37" s="577"/>
    </row>
    <row r="38" spans="1:19">
      <c r="O38" s="578"/>
    </row>
    <row r="39" spans="1:19" ht="48.75" thickBot="1">
      <c r="A39" s="478"/>
      <c r="B39" s="478"/>
      <c r="C39" s="479" t="s">
        <v>535</v>
      </c>
      <c r="D39" s="479" t="s">
        <v>543</v>
      </c>
      <c r="E39" s="479" t="s">
        <v>544</v>
      </c>
      <c r="F39" s="479" t="s">
        <v>545</v>
      </c>
      <c r="G39" s="480" t="s">
        <v>546</v>
      </c>
      <c r="H39" s="479" t="s">
        <v>547</v>
      </c>
      <c r="I39" s="479" t="s">
        <v>548</v>
      </c>
      <c r="J39" s="479" t="s">
        <v>549</v>
      </c>
      <c r="K39" s="479" t="s">
        <v>550</v>
      </c>
      <c r="L39" s="480" t="s">
        <v>357</v>
      </c>
      <c r="M39" s="479" t="s">
        <v>551</v>
      </c>
      <c r="N39" s="479" t="s">
        <v>552</v>
      </c>
      <c r="O39" s="479" t="s">
        <v>553</v>
      </c>
      <c r="P39" s="479" t="s">
        <v>554</v>
      </c>
      <c r="Q39" s="479" t="s">
        <v>555</v>
      </c>
      <c r="R39" s="479" t="s">
        <v>556</v>
      </c>
      <c r="S39" s="479"/>
    </row>
    <row r="40" spans="1:19">
      <c r="A40" s="818">
        <v>2019</v>
      </c>
      <c r="B40" s="490" t="s">
        <v>557</v>
      </c>
      <c r="C40" s="481">
        <v>8.5399999999999991</v>
      </c>
      <c r="D40" s="481">
        <v>18.97</v>
      </c>
      <c r="E40" s="481">
        <v>1.47</v>
      </c>
      <c r="F40" s="481">
        <v>10.1</v>
      </c>
      <c r="G40" s="482">
        <v>633</v>
      </c>
      <c r="H40" s="481">
        <v>1183.78</v>
      </c>
      <c r="I40" s="481">
        <v>11.34</v>
      </c>
      <c r="J40" s="481">
        <v>11.02</v>
      </c>
      <c r="K40" s="481">
        <v>163.77000000000001</v>
      </c>
      <c r="L40" s="482">
        <v>288</v>
      </c>
      <c r="M40" s="481">
        <v>127.58</v>
      </c>
      <c r="N40" s="481">
        <v>140.35</v>
      </c>
      <c r="O40" s="481">
        <v>16.399999999999999</v>
      </c>
      <c r="P40" s="481">
        <v>52.618899999999996</v>
      </c>
      <c r="Q40" s="481">
        <v>0.51100000000000001</v>
      </c>
      <c r="R40" s="481">
        <v>7.8529999999999998</v>
      </c>
      <c r="S40" s="478"/>
    </row>
    <row r="41" spans="1:19">
      <c r="A41" s="819"/>
      <c r="B41" s="490" t="s">
        <v>558</v>
      </c>
      <c r="C41" s="481">
        <v>7.04</v>
      </c>
      <c r="D41" s="481">
        <v>17.079999999999998</v>
      </c>
      <c r="E41" s="481" t="s">
        <v>559</v>
      </c>
      <c r="F41" s="481" t="s">
        <v>560</v>
      </c>
      <c r="G41" s="482">
        <v>7.77</v>
      </c>
      <c r="H41" s="481">
        <v>49.82</v>
      </c>
      <c r="I41" s="481" t="s">
        <v>561</v>
      </c>
      <c r="J41" s="481">
        <v>6.31</v>
      </c>
      <c r="K41" s="481">
        <v>6.28</v>
      </c>
      <c r="L41" s="482">
        <v>8.1999999999999993</v>
      </c>
      <c r="M41" s="481">
        <v>6.7530000000000001</v>
      </c>
      <c r="N41" s="481">
        <v>7.28</v>
      </c>
      <c r="O41" s="481" t="s">
        <v>562</v>
      </c>
      <c r="P41" s="481">
        <v>0.62570000000000003</v>
      </c>
      <c r="Q41" s="481" t="s">
        <v>563</v>
      </c>
      <c r="R41" s="481">
        <v>6.0540000000000003</v>
      </c>
      <c r="S41" s="478"/>
    </row>
    <row r="42" spans="1:19" s="458" customFormat="1">
      <c r="A42" s="819"/>
      <c r="B42" s="491" t="s">
        <v>564</v>
      </c>
      <c r="C42" s="492" t="s">
        <v>565</v>
      </c>
      <c r="D42" s="492" t="s">
        <v>565</v>
      </c>
      <c r="E42" s="492" t="s">
        <v>565</v>
      </c>
      <c r="F42" s="492" t="s">
        <v>565</v>
      </c>
      <c r="G42" s="492" t="s">
        <v>565</v>
      </c>
      <c r="H42" s="492" t="s">
        <v>565</v>
      </c>
      <c r="I42" s="492" t="s">
        <v>565</v>
      </c>
      <c r="J42" s="492" t="s">
        <v>565</v>
      </c>
      <c r="K42" s="492" t="s">
        <v>565</v>
      </c>
      <c r="L42" s="492" t="s">
        <v>565</v>
      </c>
      <c r="M42" s="492" t="s">
        <v>565</v>
      </c>
      <c r="N42" s="492" t="s">
        <v>565</v>
      </c>
      <c r="O42" s="492" t="s">
        <v>565</v>
      </c>
      <c r="P42" s="492" t="s">
        <v>565</v>
      </c>
      <c r="Q42" s="492" t="s">
        <v>565</v>
      </c>
      <c r="R42" s="492" t="s">
        <v>565</v>
      </c>
      <c r="S42" s="493"/>
    </row>
    <row r="43" spans="1:19">
      <c r="A43" s="819"/>
      <c r="B43" s="490" t="s">
        <v>566</v>
      </c>
      <c r="C43" s="481"/>
      <c r="D43" s="481"/>
      <c r="E43" s="481"/>
      <c r="F43" s="481"/>
      <c r="G43" s="482">
        <v>98.77</v>
      </c>
      <c r="H43" s="481"/>
      <c r="I43" s="481"/>
      <c r="J43" s="481"/>
      <c r="K43" s="481"/>
      <c r="L43" s="482">
        <v>97.15</v>
      </c>
      <c r="M43" s="483"/>
      <c r="N43" s="483"/>
      <c r="O43" s="483"/>
      <c r="P43" s="483"/>
      <c r="Q43" s="483"/>
      <c r="R43" s="483"/>
      <c r="S43" s="484">
        <f>SUM(C43:R43)/2</f>
        <v>97.960000000000008</v>
      </c>
    </row>
    <row r="44" spans="1:19">
      <c r="A44" s="819">
        <v>2020</v>
      </c>
      <c r="B44" s="490" t="s">
        <v>557</v>
      </c>
      <c r="C44" s="485" t="s">
        <v>567</v>
      </c>
      <c r="D44" s="485" t="s">
        <v>568</v>
      </c>
      <c r="E44" s="485" t="s">
        <v>569</v>
      </c>
      <c r="F44" s="481"/>
      <c r="G44" s="486">
        <v>277</v>
      </c>
      <c r="H44" s="485" t="s">
        <v>570</v>
      </c>
      <c r="I44" s="485" t="s">
        <v>571</v>
      </c>
      <c r="J44" s="485" t="s">
        <v>572</v>
      </c>
      <c r="K44" s="485" t="s">
        <v>573</v>
      </c>
      <c r="L44" s="487">
        <v>80000</v>
      </c>
      <c r="M44" s="488">
        <v>47593</v>
      </c>
      <c r="N44" s="485" t="s">
        <v>574</v>
      </c>
      <c r="O44" s="481" t="s">
        <v>575</v>
      </c>
      <c r="P44" s="485" t="s">
        <v>576</v>
      </c>
      <c r="Q44" s="485" t="s">
        <v>577</v>
      </c>
      <c r="R44" s="488">
        <v>4126</v>
      </c>
      <c r="S44" s="478"/>
    </row>
    <row r="45" spans="1:19">
      <c r="A45" s="819"/>
      <c r="B45" s="490" t="s">
        <v>558</v>
      </c>
      <c r="C45" s="485" t="s">
        <v>578</v>
      </c>
      <c r="D45" s="485" t="s">
        <v>579</v>
      </c>
      <c r="E45" s="485" t="s">
        <v>580</v>
      </c>
      <c r="F45" s="485"/>
      <c r="G45" s="486" t="s">
        <v>581</v>
      </c>
      <c r="H45" s="485" t="s">
        <v>582</v>
      </c>
      <c r="I45" s="485" t="s">
        <v>583</v>
      </c>
      <c r="J45" s="485" t="s">
        <v>584</v>
      </c>
      <c r="K45" s="485" t="s">
        <v>585</v>
      </c>
      <c r="L45" s="487">
        <v>7000</v>
      </c>
      <c r="M45" s="488">
        <v>2870</v>
      </c>
      <c r="N45" s="488">
        <v>44675</v>
      </c>
      <c r="O45" s="485" t="s">
        <v>586</v>
      </c>
      <c r="P45" s="488">
        <v>408273</v>
      </c>
      <c r="Q45" s="485" t="s">
        <v>587</v>
      </c>
      <c r="R45" s="488">
        <v>7427</v>
      </c>
      <c r="S45" s="478">
        <f>+S47-S51</f>
        <v>10.590000000000003</v>
      </c>
    </row>
    <row r="46" spans="1:19" s="458" customFormat="1">
      <c r="A46" s="819"/>
      <c r="B46" s="491" t="s">
        <v>564</v>
      </c>
      <c r="C46" s="492" t="s">
        <v>565</v>
      </c>
      <c r="D46" s="492" t="s">
        <v>565</v>
      </c>
      <c r="E46" s="492" t="s">
        <v>565</v>
      </c>
      <c r="F46" s="492" t="s">
        <v>565</v>
      </c>
      <c r="G46" s="492" t="s">
        <v>565</v>
      </c>
      <c r="H46" s="492" t="s">
        <v>565</v>
      </c>
      <c r="I46" s="492" t="s">
        <v>565</v>
      </c>
      <c r="J46" s="492" t="s">
        <v>565</v>
      </c>
      <c r="K46" s="492" t="s">
        <v>565</v>
      </c>
      <c r="L46" s="492" t="s">
        <v>565</v>
      </c>
      <c r="M46" s="492" t="s">
        <v>565</v>
      </c>
      <c r="N46" s="492" t="s">
        <v>565</v>
      </c>
      <c r="O46" s="492" t="s">
        <v>565</v>
      </c>
      <c r="P46" s="492" t="s">
        <v>565</v>
      </c>
      <c r="Q46" s="492" t="s">
        <v>565</v>
      </c>
      <c r="R46" s="492" t="s">
        <v>565</v>
      </c>
      <c r="S46" s="493"/>
    </row>
    <row r="47" spans="1:19">
      <c r="A47" s="819"/>
      <c r="B47" s="490" t="s">
        <v>566</v>
      </c>
      <c r="C47" s="481"/>
      <c r="D47" s="481"/>
      <c r="E47" s="481"/>
      <c r="F47" s="481"/>
      <c r="G47" s="482">
        <v>98.42</v>
      </c>
      <c r="H47" s="481"/>
      <c r="I47" s="481"/>
      <c r="J47" s="481"/>
      <c r="K47" s="481"/>
      <c r="L47" s="482">
        <v>91.25</v>
      </c>
      <c r="M47" s="483"/>
      <c r="N47" s="483"/>
      <c r="O47" s="483"/>
      <c r="P47" s="483"/>
      <c r="Q47" s="483"/>
      <c r="R47" s="483"/>
      <c r="S47" s="484">
        <f>SUM(C47:R47)/2</f>
        <v>94.835000000000008</v>
      </c>
    </row>
    <row r="48" spans="1:19">
      <c r="A48" s="819">
        <v>2021</v>
      </c>
      <c r="B48" s="490" t="s">
        <v>557</v>
      </c>
      <c r="C48" s="485" t="s">
        <v>588</v>
      </c>
      <c r="D48" s="485" t="s">
        <v>589</v>
      </c>
      <c r="E48" s="489" t="s">
        <v>590</v>
      </c>
      <c r="F48" s="481">
        <v>10</v>
      </c>
      <c r="G48" s="486">
        <v>351</v>
      </c>
      <c r="H48" s="485">
        <v>885</v>
      </c>
      <c r="I48" s="485" t="s">
        <v>591</v>
      </c>
      <c r="J48" s="485" t="s">
        <v>592</v>
      </c>
      <c r="K48" s="485" t="s">
        <v>593</v>
      </c>
      <c r="L48" s="487">
        <v>84000</v>
      </c>
      <c r="M48" s="488">
        <v>114638</v>
      </c>
      <c r="N48" s="488">
        <v>130549</v>
      </c>
      <c r="O48" s="481" t="s">
        <v>594</v>
      </c>
      <c r="P48" s="485" t="s">
        <v>595</v>
      </c>
      <c r="Q48" s="489" t="s">
        <v>577</v>
      </c>
      <c r="R48" s="488">
        <v>13897</v>
      </c>
      <c r="S48" s="478"/>
    </row>
    <row r="49" spans="1:19">
      <c r="A49" s="819"/>
      <c r="B49" s="490" t="s">
        <v>558</v>
      </c>
      <c r="C49" s="485" t="s">
        <v>596</v>
      </c>
      <c r="D49" s="485" t="s">
        <v>597</v>
      </c>
      <c r="E49" s="489" t="s">
        <v>598</v>
      </c>
      <c r="F49" s="485" t="s">
        <v>599</v>
      </c>
      <c r="G49" s="486" t="s">
        <v>600</v>
      </c>
      <c r="H49" s="489" t="s">
        <v>601</v>
      </c>
      <c r="I49" s="489" t="s">
        <v>602</v>
      </c>
      <c r="J49" s="485" t="s">
        <v>603</v>
      </c>
      <c r="K49" s="489" t="s">
        <v>586</v>
      </c>
      <c r="L49" s="487">
        <v>25600</v>
      </c>
      <c r="M49" s="488">
        <v>7221</v>
      </c>
      <c r="N49" s="488">
        <v>46651</v>
      </c>
      <c r="O49" s="489" t="s">
        <v>604</v>
      </c>
      <c r="P49" s="488">
        <v>33506</v>
      </c>
      <c r="Q49" s="488">
        <v>5363</v>
      </c>
      <c r="R49" s="488">
        <v>10101</v>
      </c>
      <c r="S49" s="478"/>
    </row>
    <row r="50" spans="1:19" s="458" customFormat="1">
      <c r="A50" s="819"/>
      <c r="B50" s="491" t="s">
        <v>564</v>
      </c>
      <c r="C50" s="492" t="s">
        <v>565</v>
      </c>
      <c r="D50" s="492" t="s">
        <v>565</v>
      </c>
      <c r="E50" s="492" t="s">
        <v>565</v>
      </c>
      <c r="F50" s="492" t="s">
        <v>565</v>
      </c>
      <c r="G50" s="492" t="s">
        <v>565</v>
      </c>
      <c r="H50" s="492" t="s">
        <v>565</v>
      </c>
      <c r="I50" s="492" t="s">
        <v>565</v>
      </c>
      <c r="J50" s="492" t="s">
        <v>565</v>
      </c>
      <c r="K50" s="492" t="s">
        <v>565</v>
      </c>
      <c r="L50" s="492" t="s">
        <v>565</v>
      </c>
      <c r="M50" s="492" t="s">
        <v>565</v>
      </c>
      <c r="N50" s="492" t="s">
        <v>565</v>
      </c>
      <c r="O50" s="492" t="s">
        <v>565</v>
      </c>
      <c r="P50" s="492" t="s">
        <v>565</v>
      </c>
      <c r="Q50" s="492" t="s">
        <v>565</v>
      </c>
      <c r="R50" s="492" t="s">
        <v>565</v>
      </c>
      <c r="S50" s="493"/>
    </row>
    <row r="51" spans="1:19" ht="17.25" thickBot="1">
      <c r="A51" s="820"/>
      <c r="B51" s="490" t="s">
        <v>566</v>
      </c>
      <c r="C51" s="481"/>
      <c r="D51" s="481"/>
      <c r="E51" s="481"/>
      <c r="F51" s="481"/>
      <c r="G51" s="482">
        <v>98.97</v>
      </c>
      <c r="H51" s="481"/>
      <c r="I51" s="481"/>
      <c r="J51" s="481"/>
      <c r="K51" s="481"/>
      <c r="L51" s="482">
        <v>69.52</v>
      </c>
      <c r="M51" s="483"/>
      <c r="N51" s="483"/>
      <c r="O51" s="483"/>
      <c r="P51" s="483"/>
      <c r="Q51" s="483"/>
      <c r="R51" s="483"/>
      <c r="S51" s="484">
        <f>SUM(C51:R51)/2</f>
        <v>84.245000000000005</v>
      </c>
    </row>
    <row r="52" spans="1:19" ht="24">
      <c r="A52" s="478"/>
      <c r="B52" s="479" t="s">
        <v>605</v>
      </c>
      <c r="C52" s="481" t="s">
        <v>606</v>
      </c>
      <c r="D52" s="481">
        <v>40</v>
      </c>
      <c r="E52" s="481">
        <v>5</v>
      </c>
      <c r="F52" s="481" t="s">
        <v>607</v>
      </c>
      <c r="G52" s="482">
        <v>90</v>
      </c>
      <c r="H52" s="481">
        <v>180</v>
      </c>
      <c r="I52" s="481" t="s">
        <v>608</v>
      </c>
      <c r="J52" s="481" t="s">
        <v>608</v>
      </c>
      <c r="K52" s="481">
        <v>20</v>
      </c>
      <c r="L52" s="482" t="s">
        <v>609</v>
      </c>
      <c r="M52" s="481" t="s">
        <v>608</v>
      </c>
      <c r="N52" s="481" t="s">
        <v>608</v>
      </c>
      <c r="O52" s="481" t="s">
        <v>608</v>
      </c>
      <c r="P52" s="481" t="s">
        <v>608</v>
      </c>
      <c r="Q52" s="481" t="s">
        <v>608</v>
      </c>
      <c r="R52" s="481" t="s">
        <v>608</v>
      </c>
      <c r="S52" s="478"/>
    </row>
    <row r="53" spans="1:19">
      <c r="B53" s="495" t="s">
        <v>610</v>
      </c>
      <c r="C53" s="495" t="s">
        <v>614</v>
      </c>
      <c r="D53" s="495" t="s">
        <v>543</v>
      </c>
      <c r="E53" s="495" t="s">
        <v>544</v>
      </c>
      <c r="F53" s="495" t="s">
        <v>545</v>
      </c>
      <c r="G53" s="495" t="s">
        <v>546</v>
      </c>
      <c r="H53" s="495" t="s">
        <v>547</v>
      </c>
      <c r="I53" s="495" t="s">
        <v>548</v>
      </c>
      <c r="J53" s="495" t="s">
        <v>549</v>
      </c>
      <c r="K53" s="495" t="s">
        <v>550</v>
      </c>
      <c r="L53" s="495" t="s">
        <v>357</v>
      </c>
      <c r="M53" s="495" t="s">
        <v>551</v>
      </c>
      <c r="N53" s="495" t="s">
        <v>552</v>
      </c>
      <c r="O53" s="495" t="s">
        <v>553</v>
      </c>
      <c r="P53" s="495" t="s">
        <v>554</v>
      </c>
      <c r="Q53" s="495" t="s">
        <v>555</v>
      </c>
      <c r="R53" s="495" t="s">
        <v>556</v>
      </c>
    </row>
    <row r="54" spans="1:19">
      <c r="B54" s="483" t="s">
        <v>611</v>
      </c>
      <c r="C54" s="494">
        <v>7.04</v>
      </c>
      <c r="D54" s="494">
        <v>17.079999999999998</v>
      </c>
      <c r="E54" s="494">
        <v>0.01</v>
      </c>
      <c r="F54" s="494">
        <v>7.56</v>
      </c>
      <c r="G54" s="494">
        <v>7.77</v>
      </c>
      <c r="H54" s="494">
        <v>49.82</v>
      </c>
      <c r="I54" s="494">
        <v>30</v>
      </c>
      <c r="J54" s="494">
        <v>6.31</v>
      </c>
      <c r="K54" s="494">
        <v>6.28</v>
      </c>
      <c r="L54" s="494">
        <v>8.1999999999999993</v>
      </c>
      <c r="M54" s="494">
        <v>6.7530000000000001</v>
      </c>
      <c r="N54" s="494">
        <v>7.28</v>
      </c>
      <c r="O54" s="494">
        <v>2</v>
      </c>
      <c r="P54" s="494">
        <v>0.62570000000000003</v>
      </c>
      <c r="Q54" s="494">
        <v>1.4999999999999999E-2</v>
      </c>
      <c r="R54" s="494">
        <v>6.0540000000000003</v>
      </c>
    </row>
    <row r="55" spans="1:19">
      <c r="B55" s="483" t="s">
        <v>612</v>
      </c>
      <c r="C55" s="494">
        <v>7.27</v>
      </c>
      <c r="D55" s="494">
        <v>17.03</v>
      </c>
      <c r="E55" s="494">
        <v>0.01</v>
      </c>
      <c r="F55" s="494">
        <v>0</v>
      </c>
      <c r="G55" s="494">
        <v>4.37</v>
      </c>
      <c r="H55" s="494">
        <v>25</v>
      </c>
      <c r="I55" s="494">
        <v>0.32</v>
      </c>
      <c r="J55" s="494">
        <v>7.86</v>
      </c>
      <c r="K55" s="494">
        <v>3.98</v>
      </c>
      <c r="L55" s="494">
        <v>7000</v>
      </c>
      <c r="M55" s="494">
        <v>2870</v>
      </c>
      <c r="N55" s="494">
        <v>44675</v>
      </c>
      <c r="O55" s="494">
        <v>2</v>
      </c>
      <c r="P55" s="494">
        <v>408273</v>
      </c>
      <c r="Q55" s="494">
        <v>0.56999999999999995</v>
      </c>
      <c r="R55" s="494">
        <v>7427</v>
      </c>
    </row>
    <row r="56" spans="1:19">
      <c r="B56" s="483" t="s">
        <v>613</v>
      </c>
      <c r="C56" s="496">
        <v>7.31</v>
      </c>
      <c r="D56" s="496">
        <v>17.399999999999999</v>
      </c>
      <c r="E56" s="496">
        <v>0.1</v>
      </c>
      <c r="F56" s="496">
        <v>10.42</v>
      </c>
      <c r="G56" s="496">
        <v>3.6</v>
      </c>
      <c r="H56" s="496">
        <v>25</v>
      </c>
      <c r="I56" s="496">
        <v>30</v>
      </c>
      <c r="J56" s="496">
        <v>12.6</v>
      </c>
      <c r="K56" s="496">
        <v>2</v>
      </c>
      <c r="L56" s="496">
        <v>25600</v>
      </c>
      <c r="M56" s="496">
        <v>7221</v>
      </c>
      <c r="N56" s="496">
        <v>46651</v>
      </c>
      <c r="O56" s="496">
        <v>2</v>
      </c>
      <c r="P56" s="496">
        <v>33506</v>
      </c>
      <c r="Q56" s="496">
        <v>5363</v>
      </c>
      <c r="R56" s="496">
        <v>10101</v>
      </c>
    </row>
    <row r="57" spans="1:19">
      <c r="B57" s="478"/>
      <c r="C57" s="495" t="s">
        <v>614</v>
      </c>
      <c r="D57" s="495" t="s">
        <v>543</v>
      </c>
      <c r="E57" s="495" t="s">
        <v>544</v>
      </c>
      <c r="F57" s="495" t="s">
        <v>545</v>
      </c>
      <c r="G57" s="495" t="s">
        <v>546</v>
      </c>
      <c r="H57" s="495" t="s">
        <v>547</v>
      </c>
      <c r="I57" s="495" t="s">
        <v>548</v>
      </c>
      <c r="J57" s="495" t="s">
        <v>549</v>
      </c>
      <c r="K57" s="495" t="s">
        <v>550</v>
      </c>
      <c r="L57" s="495" t="s">
        <v>357</v>
      </c>
      <c r="M57" s="495" t="s">
        <v>551</v>
      </c>
      <c r="N57" s="495" t="s">
        <v>552</v>
      </c>
      <c r="O57" s="495" t="s">
        <v>553</v>
      </c>
      <c r="P57" s="495" t="s">
        <v>554</v>
      </c>
      <c r="Q57" s="495" t="s">
        <v>555</v>
      </c>
      <c r="R57" s="495" t="s">
        <v>556</v>
      </c>
      <c r="S57" s="163"/>
    </row>
    <row r="58" spans="1:19">
      <c r="B58" s="483" t="s">
        <v>613</v>
      </c>
      <c r="C58" s="497">
        <v>7.31</v>
      </c>
      <c r="D58" s="497">
        <v>17.399999999999999</v>
      </c>
      <c r="E58" s="497">
        <v>0.1</v>
      </c>
      <c r="F58" s="497">
        <v>10.42</v>
      </c>
      <c r="G58" s="497">
        <v>3.6</v>
      </c>
      <c r="H58" s="497">
        <v>25</v>
      </c>
      <c r="I58" s="497">
        <v>30</v>
      </c>
      <c r="J58" s="497">
        <v>12.6</v>
      </c>
      <c r="K58" s="497">
        <v>2</v>
      </c>
      <c r="L58" s="497">
        <v>25600</v>
      </c>
      <c r="M58" s="497">
        <v>7221</v>
      </c>
      <c r="N58" s="497">
        <v>46651</v>
      </c>
      <c r="O58" s="497">
        <v>2</v>
      </c>
      <c r="P58" s="497">
        <v>33506</v>
      </c>
      <c r="Q58" s="497" t="s">
        <v>617</v>
      </c>
      <c r="R58" s="497">
        <v>10101</v>
      </c>
    </row>
    <row r="59" spans="1:19">
      <c r="B59" s="483" t="s">
        <v>615</v>
      </c>
      <c r="C59" s="494" t="s">
        <v>616</v>
      </c>
      <c r="D59" s="494" t="s">
        <v>616</v>
      </c>
      <c r="E59" s="494" t="s">
        <v>616</v>
      </c>
      <c r="F59" s="494" t="s">
        <v>616</v>
      </c>
      <c r="G59" s="494" t="s">
        <v>616</v>
      </c>
      <c r="H59" s="494" t="s">
        <v>616</v>
      </c>
      <c r="I59" s="494" t="s">
        <v>616</v>
      </c>
      <c r="J59" s="494" t="s">
        <v>616</v>
      </c>
      <c r="K59" s="494" t="s">
        <v>616</v>
      </c>
      <c r="L59" s="494" t="s">
        <v>616</v>
      </c>
      <c r="M59" s="494" t="s">
        <v>616</v>
      </c>
      <c r="N59" s="494" t="s">
        <v>616</v>
      </c>
      <c r="O59" s="494" t="s">
        <v>616</v>
      </c>
      <c r="P59" s="494" t="s">
        <v>616</v>
      </c>
      <c r="Q59" s="494" t="s">
        <v>616</v>
      </c>
      <c r="R59" s="494" t="s">
        <v>616</v>
      </c>
    </row>
    <row r="60" spans="1:19">
      <c r="B60" s="483" t="s">
        <v>618</v>
      </c>
      <c r="C60" s="451">
        <f>100%/16</f>
        <v>6.25E-2</v>
      </c>
      <c r="D60" s="451">
        <f>100%/16</f>
        <v>6.25E-2</v>
      </c>
      <c r="E60" s="451">
        <f t="shared" ref="E60:R60" si="1">100%/16</f>
        <v>6.25E-2</v>
      </c>
      <c r="F60" s="451">
        <f t="shared" si="1"/>
        <v>6.25E-2</v>
      </c>
      <c r="G60" s="451">
        <f t="shared" si="1"/>
        <v>6.25E-2</v>
      </c>
      <c r="H60" s="451">
        <f t="shared" si="1"/>
        <v>6.25E-2</v>
      </c>
      <c r="I60" s="451">
        <f t="shared" si="1"/>
        <v>6.25E-2</v>
      </c>
      <c r="J60" s="451">
        <f t="shared" si="1"/>
        <v>6.25E-2</v>
      </c>
      <c r="K60" s="451">
        <f t="shared" si="1"/>
        <v>6.25E-2</v>
      </c>
      <c r="L60" s="451">
        <f t="shared" si="1"/>
        <v>6.25E-2</v>
      </c>
      <c r="M60" s="451">
        <f t="shared" si="1"/>
        <v>6.25E-2</v>
      </c>
      <c r="N60" s="451">
        <f t="shared" si="1"/>
        <v>6.25E-2</v>
      </c>
      <c r="O60" s="451">
        <f t="shared" si="1"/>
        <v>6.25E-2</v>
      </c>
      <c r="P60" s="451">
        <f t="shared" si="1"/>
        <v>6.25E-2</v>
      </c>
      <c r="Q60" s="451">
        <f t="shared" si="1"/>
        <v>6.25E-2</v>
      </c>
      <c r="R60" s="451">
        <f t="shared" si="1"/>
        <v>6.25E-2</v>
      </c>
    </row>
    <row r="61" spans="1:19">
      <c r="B61" s="483" t="s">
        <v>152</v>
      </c>
      <c r="C61" s="815">
        <f>SUM(C60:R60)</f>
        <v>1</v>
      </c>
      <c r="D61" s="816"/>
      <c r="E61" s="816"/>
      <c r="F61" s="816"/>
      <c r="G61" s="816"/>
      <c r="H61" s="816"/>
      <c r="I61" s="816"/>
      <c r="J61" s="816"/>
      <c r="K61" s="816"/>
      <c r="L61" s="816"/>
      <c r="M61" s="816"/>
      <c r="N61" s="816"/>
      <c r="O61" s="816"/>
      <c r="P61" s="816"/>
      <c r="Q61" s="816"/>
      <c r="R61" s="817"/>
    </row>
    <row r="62" spans="1:19">
      <c r="B62" s="478"/>
      <c r="C62" s="498"/>
      <c r="D62" s="498"/>
      <c r="E62" s="498"/>
      <c r="F62" s="498"/>
      <c r="G62" s="498"/>
      <c r="H62" s="498"/>
      <c r="I62" s="498"/>
      <c r="J62" s="498"/>
      <c r="K62" s="498"/>
      <c r="L62" s="498"/>
      <c r="M62" s="498"/>
      <c r="N62" s="498"/>
      <c r="O62" s="498"/>
      <c r="P62" s="498"/>
      <c r="Q62" s="498"/>
      <c r="R62" s="498"/>
    </row>
    <row r="63" spans="1:19">
      <c r="B63" s="499"/>
      <c r="C63" s="500"/>
      <c r="D63" s="508"/>
      <c r="E63" s="812">
        <v>2021</v>
      </c>
      <c r="F63" s="813"/>
      <c r="G63" s="813"/>
      <c r="H63" s="813"/>
      <c r="I63" s="813"/>
      <c r="J63" s="813"/>
      <c r="K63" s="813"/>
      <c r="L63" s="813"/>
      <c r="M63" s="813"/>
      <c r="N63" s="813"/>
      <c r="O63" s="813"/>
      <c r="P63" s="814"/>
      <c r="Q63" s="498"/>
      <c r="R63" s="498"/>
    </row>
    <row r="64" spans="1:19">
      <c r="B64" s="291"/>
      <c r="C64" s="501"/>
      <c r="D64" s="508"/>
      <c r="E64" s="252" t="s">
        <v>212</v>
      </c>
      <c r="F64" s="252" t="s">
        <v>213</v>
      </c>
      <c r="G64" s="252" t="s">
        <v>214</v>
      </c>
      <c r="H64" s="252" t="s">
        <v>215</v>
      </c>
      <c r="I64" s="252" t="s">
        <v>216</v>
      </c>
      <c r="J64" s="252" t="s">
        <v>217</v>
      </c>
      <c r="K64" s="252" t="s">
        <v>218</v>
      </c>
      <c r="L64" s="252" t="s">
        <v>219</v>
      </c>
      <c r="M64" s="252" t="s">
        <v>220</v>
      </c>
      <c r="N64" s="252" t="s">
        <v>221</v>
      </c>
      <c r="O64" s="252" t="s">
        <v>222</v>
      </c>
      <c r="P64" s="252" t="s">
        <v>223</v>
      </c>
      <c r="Q64" s="498"/>
      <c r="R64" s="498"/>
    </row>
    <row r="65" spans="2:21" ht="24">
      <c r="B65" s="478"/>
      <c r="C65" s="498"/>
      <c r="D65" s="480" t="s">
        <v>619</v>
      </c>
      <c r="E65" s="509">
        <v>16</v>
      </c>
      <c r="F65" s="509">
        <f>+E65</f>
        <v>16</v>
      </c>
      <c r="G65" s="509">
        <f t="shared" ref="G65:P65" si="2">+F65</f>
        <v>16</v>
      </c>
      <c r="H65" s="509">
        <f t="shared" si="2"/>
        <v>16</v>
      </c>
      <c r="I65" s="509">
        <f t="shared" si="2"/>
        <v>16</v>
      </c>
      <c r="J65" s="509">
        <f t="shared" si="2"/>
        <v>16</v>
      </c>
      <c r="K65" s="509">
        <f t="shared" si="2"/>
        <v>16</v>
      </c>
      <c r="L65" s="509">
        <f t="shared" si="2"/>
        <v>16</v>
      </c>
      <c r="M65" s="509">
        <f t="shared" si="2"/>
        <v>16</v>
      </c>
      <c r="N65" s="509">
        <f t="shared" si="2"/>
        <v>16</v>
      </c>
      <c r="O65" s="509">
        <f t="shared" si="2"/>
        <v>16</v>
      </c>
      <c r="P65" s="509">
        <f t="shared" si="2"/>
        <v>16</v>
      </c>
      <c r="Q65" s="498"/>
      <c r="R65" s="498"/>
      <c r="S65" s="242">
        <f>100%/16</f>
        <v>6.25E-2</v>
      </c>
      <c r="T65" s="4">
        <v>16</v>
      </c>
      <c r="U65" s="233">
        <v>1</v>
      </c>
    </row>
    <row r="66" spans="2:21">
      <c r="B66" s="478"/>
      <c r="C66" s="498"/>
      <c r="D66" s="480" t="s">
        <v>152</v>
      </c>
      <c r="E66" s="509" t="str">
        <f>IF(E65=16,"100%",IF(E65=15,"93.75%",IF(E65=14,"87.5%",IF(E65=13,"81.25%",IF(E65=12,"75%","ERROR")))))</f>
        <v>100%</v>
      </c>
      <c r="F66" s="509" t="str">
        <f t="shared" ref="F66:P66" si="3">IF(F65=16,"100%",IF(F65=15,"93.75%",IF(F65=14,"87.5%",IF(F65=13,"81.25%",IF(F65=12,"75%","ERROR")))))</f>
        <v>100%</v>
      </c>
      <c r="G66" s="509" t="str">
        <f t="shared" si="3"/>
        <v>100%</v>
      </c>
      <c r="H66" s="509" t="str">
        <f t="shared" si="3"/>
        <v>100%</v>
      </c>
      <c r="I66" s="509" t="str">
        <f t="shared" si="3"/>
        <v>100%</v>
      </c>
      <c r="J66" s="509" t="str">
        <f t="shared" si="3"/>
        <v>100%</v>
      </c>
      <c r="K66" s="509" t="str">
        <f t="shared" si="3"/>
        <v>100%</v>
      </c>
      <c r="L66" s="509" t="str">
        <f t="shared" si="3"/>
        <v>100%</v>
      </c>
      <c r="M66" s="509" t="str">
        <f t="shared" si="3"/>
        <v>100%</v>
      </c>
      <c r="N66" s="509" t="str">
        <f t="shared" si="3"/>
        <v>100%</v>
      </c>
      <c r="O66" s="509" t="str">
        <f t="shared" si="3"/>
        <v>100%</v>
      </c>
      <c r="P66" s="509" t="str">
        <f t="shared" si="3"/>
        <v>100%</v>
      </c>
      <c r="Q66" s="498"/>
      <c r="R66" s="498"/>
      <c r="T66" s="4">
        <v>15</v>
      </c>
      <c r="U66" s="507">
        <f>+U65-S$65</f>
        <v>0.9375</v>
      </c>
    </row>
    <row r="67" spans="2:21" ht="49.5">
      <c r="B67" s="478"/>
      <c r="C67" s="498"/>
      <c r="D67" s="502" t="s">
        <v>620</v>
      </c>
      <c r="E67" s="235">
        <v>15</v>
      </c>
      <c r="F67" s="235">
        <v>15</v>
      </c>
      <c r="G67" s="235">
        <v>15</v>
      </c>
      <c r="H67" s="235">
        <v>15</v>
      </c>
      <c r="I67" s="235">
        <v>15</v>
      </c>
      <c r="J67" s="235">
        <v>15</v>
      </c>
      <c r="K67" s="235">
        <v>15</v>
      </c>
      <c r="L67" s="235">
        <v>15</v>
      </c>
      <c r="M67" s="235">
        <v>15</v>
      </c>
      <c r="N67" s="235">
        <v>15</v>
      </c>
      <c r="O67" s="235">
        <v>15</v>
      </c>
      <c r="P67" s="235">
        <v>15</v>
      </c>
      <c r="Q67" s="498"/>
      <c r="R67" s="498"/>
      <c r="T67" s="4">
        <v>14</v>
      </c>
      <c r="U67" s="507">
        <f t="shared" ref="U67:U81" si="4">+U66-S$65</f>
        <v>0.875</v>
      </c>
    </row>
    <row r="68" spans="2:21">
      <c r="B68" s="478"/>
      <c r="C68" s="498"/>
      <c r="D68" s="506"/>
      <c r="Q68" s="498"/>
      <c r="R68" s="498"/>
      <c r="T68" s="4">
        <v>13</v>
      </c>
      <c r="U68" s="507">
        <f t="shared" si="4"/>
        <v>0.8125</v>
      </c>
    </row>
    <row r="69" spans="2:21">
      <c r="B69" s="478"/>
      <c r="C69" s="498"/>
      <c r="D69" s="498"/>
      <c r="H69" s="498"/>
      <c r="I69" s="498"/>
      <c r="J69" s="498"/>
      <c r="K69" s="498"/>
      <c r="L69" s="498"/>
      <c r="M69" s="498"/>
      <c r="N69" s="498"/>
      <c r="O69" s="498"/>
      <c r="P69" s="498"/>
      <c r="Q69" s="498"/>
      <c r="R69" s="498"/>
      <c r="T69" s="4">
        <v>12</v>
      </c>
      <c r="U69" s="507">
        <f t="shared" si="4"/>
        <v>0.75</v>
      </c>
    </row>
    <row r="70" spans="2:21">
      <c r="T70" s="4">
        <v>11</v>
      </c>
      <c r="U70" s="507">
        <f t="shared" si="4"/>
        <v>0.6875</v>
      </c>
    </row>
    <row r="71" spans="2:21">
      <c r="T71" s="4">
        <v>10</v>
      </c>
      <c r="U71" s="507">
        <f t="shared" si="4"/>
        <v>0.625</v>
      </c>
    </row>
    <row r="72" spans="2:21">
      <c r="T72" s="4">
        <v>9</v>
      </c>
      <c r="U72" s="507">
        <f t="shared" si="4"/>
        <v>0.5625</v>
      </c>
    </row>
    <row r="73" spans="2:21">
      <c r="T73" s="4">
        <v>8</v>
      </c>
      <c r="U73" s="507">
        <f t="shared" si="4"/>
        <v>0.5</v>
      </c>
    </row>
    <row r="74" spans="2:21">
      <c r="T74" s="4">
        <v>7</v>
      </c>
      <c r="U74" s="507">
        <f t="shared" si="4"/>
        <v>0.4375</v>
      </c>
    </row>
    <row r="75" spans="2:21">
      <c r="T75" s="4">
        <v>6</v>
      </c>
      <c r="U75" s="507">
        <f t="shared" si="4"/>
        <v>0.375</v>
      </c>
    </row>
    <row r="76" spans="2:21">
      <c r="T76" s="4">
        <v>5</v>
      </c>
      <c r="U76" s="507">
        <f t="shared" si="4"/>
        <v>0.3125</v>
      </c>
    </row>
    <row r="77" spans="2:21">
      <c r="T77" s="4">
        <v>4</v>
      </c>
      <c r="U77" s="507">
        <f t="shared" si="4"/>
        <v>0.25</v>
      </c>
    </row>
    <row r="78" spans="2:21">
      <c r="T78" s="4">
        <v>3</v>
      </c>
      <c r="U78" s="507">
        <f t="shared" si="4"/>
        <v>0.1875</v>
      </c>
    </row>
    <row r="79" spans="2:21">
      <c r="T79" s="4">
        <v>2</v>
      </c>
      <c r="U79" s="507">
        <f t="shared" si="4"/>
        <v>0.125</v>
      </c>
    </row>
    <row r="80" spans="2:21">
      <c r="T80" s="4">
        <v>1</v>
      </c>
      <c r="U80" s="507">
        <f t="shared" si="4"/>
        <v>6.25E-2</v>
      </c>
    </row>
    <row r="81" spans="20:21">
      <c r="T81" s="4">
        <v>0</v>
      </c>
      <c r="U81" s="507">
        <f t="shared" si="4"/>
        <v>0</v>
      </c>
    </row>
  </sheetData>
  <mergeCells count="51">
    <mergeCell ref="G25:N25"/>
    <mergeCell ref="B25:F25"/>
    <mergeCell ref="A1:J4"/>
    <mergeCell ref="K1:L1"/>
    <mergeCell ref="M1:N1"/>
    <mergeCell ref="K2:L2"/>
    <mergeCell ref="M2:N2"/>
    <mergeCell ref="K3:L3"/>
    <mergeCell ref="M3:N3"/>
    <mergeCell ref="K4:L4"/>
    <mergeCell ref="M4:N4"/>
    <mergeCell ref="C14:N14"/>
    <mergeCell ref="C15:N15"/>
    <mergeCell ref="A16:B16"/>
    <mergeCell ref="C16:N16"/>
    <mergeCell ref="A20:B20"/>
    <mergeCell ref="C6:N6"/>
    <mergeCell ref="C7:N7"/>
    <mergeCell ref="C9:N9"/>
    <mergeCell ref="C12:N12"/>
    <mergeCell ref="A13:B13"/>
    <mergeCell ref="C13:N13"/>
    <mergeCell ref="B26:F26"/>
    <mergeCell ref="E63:P63"/>
    <mergeCell ref="C61:R61"/>
    <mergeCell ref="A40:A43"/>
    <mergeCell ref="A44:A47"/>
    <mergeCell ref="A48:A51"/>
    <mergeCell ref="B35:F35"/>
    <mergeCell ref="B36:F36"/>
    <mergeCell ref="B27:F27"/>
    <mergeCell ref="B28:F28"/>
    <mergeCell ref="B29:F29"/>
    <mergeCell ref="B30:F30"/>
    <mergeCell ref="B31:F31"/>
    <mergeCell ref="B37:F37"/>
    <mergeCell ref="G26:N26"/>
    <mergeCell ref="G27:N27"/>
    <mergeCell ref="G35:N35"/>
    <mergeCell ref="G36:N36"/>
    <mergeCell ref="G37:N37"/>
    <mergeCell ref="G28:N28"/>
    <mergeCell ref="G29:N29"/>
    <mergeCell ref="G30:N30"/>
    <mergeCell ref="G31:N31"/>
    <mergeCell ref="G32:N32"/>
    <mergeCell ref="B32:F32"/>
    <mergeCell ref="B33:F33"/>
    <mergeCell ref="B34:F34"/>
    <mergeCell ref="G33:N33"/>
    <mergeCell ref="G34:N34"/>
  </mergeCells>
  <hyperlinks>
    <hyperlink ref="O5" location="'Matriz Sta Ana'!A1" display="Volver" xr:uid="{DEEF73DC-92A2-4ADF-AA0B-B1CDB98B171B}"/>
    <hyperlink ref="Q6" location="'Matriz Sta Ana'!A1" display="Volver" xr:uid="{CA9B1BD5-4A36-46D9-BBD7-D553C3452AA5}"/>
  </hyperlinks>
  <pageMargins left="0.7" right="0.7" top="0.75" bottom="0.75" header="0.3" footer="0.3"/>
  <pageSetup orientation="portrait" r:id="rId1"/>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359AB6-A430-46A6-B4A3-5D2DCBFD11FC}">
  <sheetPr>
    <tabColor theme="4" tint="0.39997558519241921"/>
  </sheetPr>
  <dimension ref="A1:O57"/>
  <sheetViews>
    <sheetView view="pageBreakPreview" topLeftCell="A22" zoomScaleNormal="100" zoomScaleSheetLayoutView="100" workbookViewId="0">
      <selection activeCell="B35" sqref="B35:F35"/>
    </sheetView>
  </sheetViews>
  <sheetFormatPr baseColWidth="10" defaultColWidth="11.42578125" defaultRowHeight="16.5"/>
  <cols>
    <col min="1" max="1" width="7.42578125" style="5" customWidth="1"/>
    <col min="2" max="2" width="33.5703125" style="5" customWidth="1"/>
    <col min="3" max="3" width="8.42578125" style="4" customWidth="1"/>
    <col min="4" max="4" width="8.5703125" style="4" customWidth="1"/>
    <col min="5" max="5" width="9.85546875" style="4" bestFit="1" customWidth="1"/>
    <col min="6" max="6" width="7.42578125" style="4" customWidth="1"/>
    <col min="7" max="7" width="19.5703125" style="4" customWidth="1"/>
    <col min="8" max="8" width="8.5703125" style="4" customWidth="1"/>
    <col min="9" max="10" width="7.140625" style="4" customWidth="1"/>
    <col min="11" max="11" width="10" style="4" customWidth="1"/>
    <col min="12" max="12" width="11.42578125" style="4" customWidth="1"/>
    <col min="13" max="13" width="7.140625" style="4" customWidth="1"/>
    <col min="14" max="14" width="8.140625" style="4"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4.25" customHeight="1">
      <c r="A6" s="5" t="s">
        <v>121</v>
      </c>
      <c r="C6" s="734" t="s">
        <v>707</v>
      </c>
      <c r="D6" s="734"/>
      <c r="E6" s="734"/>
      <c r="F6" s="734"/>
      <c r="G6" s="734"/>
      <c r="H6" s="734"/>
      <c r="I6" s="734"/>
      <c r="J6" s="734"/>
      <c r="K6" s="734"/>
      <c r="L6" s="734"/>
      <c r="M6" s="734"/>
      <c r="N6" s="734"/>
    </row>
    <row r="7" spans="1:15" ht="14.25" customHeight="1">
      <c r="A7" s="5" t="s">
        <v>3</v>
      </c>
      <c r="C7" s="700" t="s">
        <v>231</v>
      </c>
      <c r="D7" s="700"/>
      <c r="E7" s="700"/>
      <c r="F7" s="700"/>
      <c r="G7" s="700"/>
      <c r="H7" s="700"/>
      <c r="I7" s="700"/>
      <c r="J7" s="700"/>
      <c r="K7" s="700"/>
      <c r="L7" s="700"/>
      <c r="M7" s="700"/>
      <c r="N7" s="700"/>
    </row>
    <row r="8" spans="1:15" ht="14.25" customHeight="1">
      <c r="A8" s="5" t="s">
        <v>122</v>
      </c>
      <c r="C8" s="8" t="s">
        <v>123</v>
      </c>
      <c r="D8" s="8"/>
      <c r="E8" s="8"/>
      <c r="F8" s="8"/>
      <c r="G8" s="8"/>
      <c r="H8" s="8"/>
      <c r="I8" s="8"/>
      <c r="J8" s="8"/>
      <c r="K8" s="8"/>
      <c r="L8" s="8"/>
      <c r="M8" s="8"/>
      <c r="N8" s="8"/>
    </row>
    <row r="9" spans="1:15" ht="14.25" customHeight="1">
      <c r="A9" s="5" t="s">
        <v>124</v>
      </c>
      <c r="C9" s="735">
        <v>1</v>
      </c>
      <c r="D9" s="736"/>
      <c r="E9" s="736"/>
      <c r="F9" s="736"/>
      <c r="G9" s="736"/>
      <c r="H9" s="736"/>
      <c r="I9" s="736"/>
      <c r="J9" s="736"/>
      <c r="K9" s="736"/>
      <c r="L9" s="736"/>
      <c r="M9" s="736"/>
      <c r="N9" s="736"/>
    </row>
    <row r="10" spans="1:15" ht="14.25" customHeight="1">
      <c r="A10" s="5" t="s">
        <v>5</v>
      </c>
      <c r="C10" s="64" t="s">
        <v>15</v>
      </c>
      <c r="D10" s="64"/>
      <c r="E10" s="64"/>
      <c r="F10" s="64"/>
      <c r="G10" s="64"/>
      <c r="H10" s="64"/>
      <c r="I10" s="64"/>
      <c r="J10" s="64"/>
      <c r="K10" s="64"/>
      <c r="L10" s="64"/>
      <c r="M10" s="64"/>
      <c r="N10" s="64"/>
    </row>
    <row r="11" spans="1:15" ht="14.25" customHeight="1">
      <c r="A11" s="5" t="s">
        <v>6</v>
      </c>
      <c r="C11" s="64" t="s">
        <v>227</v>
      </c>
      <c r="D11" s="64"/>
      <c r="E11" s="64"/>
      <c r="F11" s="64"/>
      <c r="G11" s="64"/>
      <c r="H11" s="64"/>
      <c r="I11" s="64"/>
      <c r="J11" s="64"/>
      <c r="K11" s="64"/>
      <c r="L11" s="64"/>
      <c r="M11" s="64"/>
      <c r="N11" s="64"/>
    </row>
    <row r="12" spans="1:15" ht="14.25" customHeight="1">
      <c r="A12" s="5" t="s">
        <v>7</v>
      </c>
      <c r="C12" s="700"/>
      <c r="D12" s="700"/>
      <c r="E12" s="700"/>
      <c r="F12" s="700"/>
      <c r="G12" s="700"/>
      <c r="H12" s="700"/>
      <c r="I12" s="700"/>
      <c r="J12" s="700"/>
      <c r="K12" s="700"/>
      <c r="L12" s="700"/>
      <c r="M12" s="700"/>
      <c r="N12" s="700"/>
    </row>
    <row r="13" spans="1:15" ht="14.25" customHeight="1">
      <c r="A13" s="737" t="s">
        <v>125</v>
      </c>
      <c r="B13" s="737"/>
      <c r="C13" s="700" t="s">
        <v>227</v>
      </c>
      <c r="D13" s="700"/>
      <c r="E13" s="700"/>
      <c r="F13" s="700"/>
      <c r="G13" s="700"/>
      <c r="H13" s="700"/>
      <c r="I13" s="700"/>
      <c r="J13" s="700"/>
      <c r="K13" s="700"/>
      <c r="L13" s="700"/>
      <c r="M13" s="700"/>
      <c r="N13" s="700"/>
    </row>
    <row r="14" spans="1:15" ht="14.25" customHeight="1">
      <c r="A14" s="5" t="s">
        <v>127</v>
      </c>
      <c r="C14" s="700"/>
      <c r="D14" s="700"/>
      <c r="E14" s="700"/>
      <c r="F14" s="700"/>
      <c r="G14" s="700"/>
      <c r="H14" s="700"/>
      <c r="I14" s="700"/>
      <c r="J14" s="700"/>
      <c r="K14" s="700"/>
      <c r="L14" s="700"/>
      <c r="M14" s="700"/>
      <c r="N14" s="700"/>
    </row>
    <row r="15" spans="1:15" ht="14.25" customHeight="1">
      <c r="A15" s="5" t="s">
        <v>10</v>
      </c>
      <c r="C15" s="701" t="s">
        <v>235</v>
      </c>
      <c r="D15" s="701"/>
      <c r="E15" s="701"/>
      <c r="F15" s="701"/>
      <c r="G15" s="701"/>
      <c r="H15" s="701"/>
      <c r="I15" s="701"/>
      <c r="J15" s="701"/>
      <c r="K15" s="701"/>
      <c r="L15" s="701"/>
      <c r="M15" s="701"/>
      <c r="N15" s="701"/>
    </row>
    <row r="16" spans="1:15" ht="14.25" customHeight="1">
      <c r="A16" s="737" t="s">
        <v>128</v>
      </c>
      <c r="B16" s="737"/>
      <c r="C16" s="833"/>
      <c r="D16" s="833"/>
      <c r="E16" s="833"/>
      <c r="F16" s="833"/>
      <c r="G16" s="833"/>
      <c r="H16" s="833"/>
      <c r="I16" s="833"/>
      <c r="J16" s="833"/>
      <c r="K16" s="833"/>
      <c r="L16" s="833"/>
      <c r="M16" s="833"/>
      <c r="N16" s="833"/>
    </row>
    <row r="17" spans="1:14" ht="14.25" customHeight="1">
      <c r="A17" s="707" t="s">
        <v>443</v>
      </c>
      <c r="B17" s="707"/>
      <c r="C17" s="708">
        <v>44784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0" t="s">
        <v>129</v>
      </c>
      <c r="C19" s="124" t="s">
        <v>326</v>
      </c>
      <c r="D19" s="124" t="s">
        <v>327</v>
      </c>
      <c r="E19" s="124" t="s">
        <v>328</v>
      </c>
      <c r="F19" s="124" t="s">
        <v>329</v>
      </c>
      <c r="G19" s="124" t="s">
        <v>330</v>
      </c>
      <c r="H19" s="124" t="s">
        <v>331</v>
      </c>
      <c r="I19" s="124" t="s">
        <v>332</v>
      </c>
      <c r="J19" s="124" t="s">
        <v>333</v>
      </c>
      <c r="K19" s="124" t="s">
        <v>321</v>
      </c>
      <c r="L19" s="124" t="s">
        <v>322</v>
      </c>
      <c r="M19" s="124" t="s">
        <v>323</v>
      </c>
      <c r="N19" s="124" t="s">
        <v>324</v>
      </c>
    </row>
    <row r="20" spans="1:14">
      <c r="A20" s="4"/>
      <c r="B20" s="125" t="s">
        <v>334</v>
      </c>
      <c r="C20" s="11">
        <f>+C46</f>
        <v>0</v>
      </c>
      <c r="D20" s="11">
        <f>+C47</f>
        <v>2</v>
      </c>
      <c r="E20" s="11">
        <f>+C48</f>
        <v>2</v>
      </c>
      <c r="F20" s="11">
        <f>+C49</f>
        <v>1</v>
      </c>
      <c r="G20" s="11">
        <f>+C50</f>
        <v>3</v>
      </c>
      <c r="H20" s="11">
        <f>+C51</f>
        <v>1</v>
      </c>
      <c r="I20" s="11">
        <f>+C52</f>
        <v>0</v>
      </c>
      <c r="J20" s="11">
        <f>+C53</f>
        <v>0</v>
      </c>
      <c r="K20" s="11">
        <f>+C54</f>
        <v>0</v>
      </c>
      <c r="L20" s="11">
        <f>+C55</f>
        <v>0</v>
      </c>
      <c r="M20" s="11">
        <f>+C56</f>
        <v>0</v>
      </c>
      <c r="N20" s="11">
        <f>+C57</f>
        <v>0</v>
      </c>
    </row>
    <row r="21" spans="1:14">
      <c r="A21" s="4"/>
      <c r="B21" s="10" t="s">
        <v>335</v>
      </c>
      <c r="C21" s="11">
        <v>0</v>
      </c>
      <c r="D21" s="11">
        <v>0</v>
      </c>
      <c r="E21" s="11">
        <v>0</v>
      </c>
      <c r="F21" s="11">
        <v>0</v>
      </c>
      <c r="G21" s="11">
        <v>0</v>
      </c>
      <c r="H21" s="11">
        <v>0</v>
      </c>
      <c r="I21" s="11">
        <v>0</v>
      </c>
      <c r="J21" s="11">
        <v>0</v>
      </c>
      <c r="K21" s="11">
        <v>0</v>
      </c>
      <c r="L21" s="11">
        <v>0</v>
      </c>
      <c r="M21" s="11">
        <v>0</v>
      </c>
      <c r="N21" s="11">
        <v>0</v>
      </c>
    </row>
    <row r="22" spans="1:14" s="126" customFormat="1">
      <c r="B22" s="127" t="s">
        <v>336</v>
      </c>
      <c r="C22" s="128">
        <v>1</v>
      </c>
      <c r="D22" s="128">
        <v>1</v>
      </c>
      <c r="E22" s="128">
        <v>1</v>
      </c>
      <c r="F22" s="128">
        <v>1</v>
      </c>
      <c r="G22" s="128">
        <v>1</v>
      </c>
      <c r="H22" s="128">
        <v>1</v>
      </c>
      <c r="I22" s="128">
        <v>1</v>
      </c>
      <c r="J22" s="128">
        <v>1</v>
      </c>
      <c r="K22" s="128">
        <v>1</v>
      </c>
      <c r="L22" s="128">
        <v>1</v>
      </c>
      <c r="M22" s="128">
        <v>1</v>
      </c>
      <c r="N22" s="128">
        <v>1</v>
      </c>
    </row>
    <row r="23" spans="1:14" s="130" customFormat="1" ht="35.25" customHeight="1">
      <c r="A23" s="834" t="s">
        <v>142</v>
      </c>
      <c r="B23" s="835"/>
      <c r="C23" s="134">
        <v>1</v>
      </c>
      <c r="D23" s="134">
        <v>1</v>
      </c>
      <c r="E23" s="134">
        <v>1</v>
      </c>
      <c r="F23" s="134">
        <v>1</v>
      </c>
      <c r="G23" s="134">
        <v>1</v>
      </c>
      <c r="H23" s="134">
        <v>1</v>
      </c>
      <c r="I23" s="134">
        <v>1</v>
      </c>
      <c r="J23" s="134">
        <v>1</v>
      </c>
      <c r="K23" s="134">
        <v>1</v>
      </c>
      <c r="L23" s="134">
        <v>1</v>
      </c>
      <c r="M23" s="134">
        <v>1</v>
      </c>
      <c r="N23" s="134">
        <v>1</v>
      </c>
    </row>
    <row r="24" spans="1:14" ht="42" customHeight="1">
      <c r="A24" s="13" t="s">
        <v>143</v>
      </c>
      <c r="B24" s="13"/>
      <c r="C24" s="14">
        <v>1</v>
      </c>
      <c r="D24" s="14">
        <v>1</v>
      </c>
      <c r="E24" s="14">
        <v>1</v>
      </c>
      <c r="F24" s="14">
        <v>1</v>
      </c>
      <c r="G24" s="14">
        <v>1</v>
      </c>
      <c r="H24" s="14">
        <v>1</v>
      </c>
      <c r="I24" s="14">
        <v>1</v>
      </c>
      <c r="J24" s="14">
        <v>1</v>
      </c>
      <c r="K24" s="14">
        <v>1</v>
      </c>
      <c r="L24" s="14">
        <v>1</v>
      </c>
      <c r="M24" s="14">
        <v>1</v>
      </c>
      <c r="N24" s="14">
        <v>1</v>
      </c>
    </row>
    <row r="25" spans="1:14" s="19" customFormat="1" ht="207" customHeight="1">
      <c r="A25" s="15" t="s">
        <v>144</v>
      </c>
      <c r="B25" s="16"/>
      <c r="C25" s="17"/>
      <c r="D25" s="17"/>
      <c r="E25" s="17"/>
      <c r="F25" s="17"/>
      <c r="G25" s="17"/>
      <c r="H25" s="17"/>
      <c r="I25" s="17"/>
      <c r="J25" s="17"/>
      <c r="K25" s="17"/>
      <c r="L25" s="17"/>
      <c r="M25" s="17"/>
      <c r="N25" s="18"/>
    </row>
    <row r="26" spans="1:14" ht="7.5" customHeight="1"/>
    <row r="27" spans="1:14" ht="25.5" customHeight="1">
      <c r="A27" s="20" t="s">
        <v>145</v>
      </c>
      <c r="B27" s="21"/>
      <c r="C27" s="22"/>
      <c r="D27" s="22"/>
      <c r="E27" s="22"/>
      <c r="F27" s="22"/>
      <c r="G27" s="23" t="s">
        <v>146</v>
      </c>
      <c r="H27" s="22"/>
      <c r="I27" s="22"/>
      <c r="J27" s="22"/>
      <c r="K27" s="22"/>
      <c r="L27" s="22"/>
      <c r="M27" s="22"/>
      <c r="N27" s="24"/>
    </row>
    <row r="28" spans="1:14" ht="25.5" customHeight="1">
      <c r="A28" s="135" t="s">
        <v>129</v>
      </c>
      <c r="G28" s="26"/>
      <c r="N28" s="27"/>
    </row>
    <row r="29" spans="1:14" s="19" customFormat="1" ht="28.5" customHeight="1">
      <c r="A29" s="136" t="s">
        <v>326</v>
      </c>
      <c r="B29" s="827" t="s">
        <v>643</v>
      </c>
      <c r="C29" s="828"/>
      <c r="D29" s="828"/>
      <c r="E29" s="828"/>
      <c r="F29" s="829"/>
      <c r="G29" s="830" t="s">
        <v>482</v>
      </c>
      <c r="H29" s="831"/>
      <c r="I29" s="831"/>
      <c r="J29" s="831"/>
      <c r="K29" s="831"/>
      <c r="L29" s="831"/>
      <c r="M29" s="831"/>
      <c r="N29" s="832"/>
    </row>
    <row r="30" spans="1:14" s="19" customFormat="1" ht="50.25" customHeight="1">
      <c r="A30" s="137" t="s">
        <v>327</v>
      </c>
      <c r="B30" s="827" t="s">
        <v>481</v>
      </c>
      <c r="C30" s="828"/>
      <c r="D30" s="828"/>
      <c r="E30" s="828"/>
      <c r="F30" s="829"/>
      <c r="G30" s="830" t="s">
        <v>482</v>
      </c>
      <c r="H30" s="831"/>
      <c r="I30" s="831"/>
      <c r="J30" s="831"/>
      <c r="K30" s="831"/>
      <c r="L30" s="831"/>
      <c r="M30" s="831"/>
      <c r="N30" s="832"/>
    </row>
    <row r="31" spans="1:14" s="19" customFormat="1" ht="28.5" customHeight="1">
      <c r="A31" s="137" t="s">
        <v>328</v>
      </c>
      <c r="B31" s="827" t="s">
        <v>481</v>
      </c>
      <c r="C31" s="828"/>
      <c r="D31" s="828"/>
      <c r="E31" s="828"/>
      <c r="F31" s="829"/>
      <c r="G31" s="830" t="s">
        <v>482</v>
      </c>
      <c r="H31" s="831"/>
      <c r="I31" s="831"/>
      <c r="J31" s="831"/>
      <c r="K31" s="831"/>
      <c r="L31" s="831"/>
      <c r="M31" s="831"/>
      <c r="N31" s="832"/>
    </row>
    <row r="32" spans="1:14" s="19" customFormat="1" ht="33" customHeight="1">
      <c r="A32" s="137" t="s">
        <v>329</v>
      </c>
      <c r="B32" s="827" t="s">
        <v>481</v>
      </c>
      <c r="C32" s="828"/>
      <c r="D32" s="828"/>
      <c r="E32" s="828"/>
      <c r="F32" s="829"/>
      <c r="G32" s="830" t="s">
        <v>482</v>
      </c>
      <c r="H32" s="831"/>
      <c r="I32" s="831"/>
      <c r="J32" s="831"/>
      <c r="K32" s="831"/>
      <c r="L32" s="831"/>
      <c r="M32" s="831"/>
      <c r="N32" s="832"/>
    </row>
    <row r="33" spans="1:14" s="19" customFormat="1" ht="28.5" customHeight="1">
      <c r="A33" s="137" t="s">
        <v>330</v>
      </c>
      <c r="B33" s="827" t="s">
        <v>481</v>
      </c>
      <c r="C33" s="828"/>
      <c r="D33" s="828"/>
      <c r="E33" s="828"/>
      <c r="F33" s="829"/>
      <c r="G33" s="830" t="s">
        <v>482</v>
      </c>
      <c r="H33" s="831"/>
      <c r="I33" s="831"/>
      <c r="J33" s="831"/>
      <c r="K33" s="831"/>
      <c r="L33" s="831"/>
      <c r="M33" s="831"/>
      <c r="N33" s="832"/>
    </row>
    <row r="34" spans="1:14" s="19" customFormat="1" ht="34.5" customHeight="1">
      <c r="A34" s="137" t="s">
        <v>331</v>
      </c>
      <c r="B34" s="827" t="s">
        <v>481</v>
      </c>
      <c r="C34" s="828"/>
      <c r="D34" s="828"/>
      <c r="E34" s="828"/>
      <c r="F34" s="829"/>
      <c r="G34" s="830" t="s">
        <v>482</v>
      </c>
      <c r="H34" s="831"/>
      <c r="I34" s="831"/>
      <c r="J34" s="831"/>
      <c r="K34" s="831"/>
      <c r="L34" s="831"/>
      <c r="M34" s="831"/>
      <c r="N34" s="832"/>
    </row>
    <row r="35" spans="1:14" s="19" customFormat="1" ht="33.75" customHeight="1">
      <c r="A35" s="137" t="s">
        <v>332</v>
      </c>
      <c r="B35" s="827" t="s">
        <v>686</v>
      </c>
      <c r="C35" s="828"/>
      <c r="D35" s="828"/>
      <c r="E35" s="828"/>
      <c r="F35" s="829"/>
      <c r="G35" s="830" t="s">
        <v>482</v>
      </c>
      <c r="H35" s="831"/>
      <c r="I35" s="831"/>
      <c r="J35" s="831"/>
      <c r="K35" s="831"/>
      <c r="L35" s="831"/>
      <c r="M35" s="831"/>
      <c r="N35" s="832"/>
    </row>
    <row r="36" spans="1:14" s="19" customFormat="1" ht="38.25" customHeight="1">
      <c r="A36" s="137" t="s">
        <v>333</v>
      </c>
      <c r="B36" s="827"/>
      <c r="C36" s="828"/>
      <c r="D36" s="828"/>
      <c r="E36" s="828"/>
      <c r="F36" s="829"/>
      <c r="G36" s="830"/>
      <c r="H36" s="831"/>
      <c r="I36" s="831"/>
      <c r="J36" s="831"/>
      <c r="K36" s="831"/>
      <c r="L36" s="831"/>
      <c r="M36" s="831"/>
      <c r="N36" s="832"/>
    </row>
    <row r="37" spans="1:14" s="19" customFormat="1" ht="43.5" customHeight="1">
      <c r="A37" s="137" t="s">
        <v>321</v>
      </c>
      <c r="B37" s="827"/>
      <c r="C37" s="828"/>
      <c r="D37" s="828"/>
      <c r="E37" s="828"/>
      <c r="F37" s="829"/>
      <c r="G37" s="836"/>
      <c r="H37" s="828"/>
      <c r="I37" s="828"/>
      <c r="J37" s="828"/>
      <c r="K37" s="828"/>
      <c r="L37" s="828"/>
      <c r="M37" s="828"/>
      <c r="N37" s="829"/>
    </row>
    <row r="38" spans="1:14" s="19" customFormat="1" ht="28.5" customHeight="1">
      <c r="A38" s="137" t="s">
        <v>322</v>
      </c>
      <c r="B38" s="827"/>
      <c r="C38" s="828"/>
      <c r="D38" s="828"/>
      <c r="E38" s="828"/>
      <c r="F38" s="829"/>
      <c r="G38" s="830"/>
      <c r="H38" s="831"/>
      <c r="I38" s="831"/>
      <c r="J38" s="831"/>
      <c r="K38" s="831"/>
      <c r="L38" s="831"/>
      <c r="M38" s="831"/>
      <c r="N38" s="832"/>
    </row>
    <row r="39" spans="1:14" s="19" customFormat="1" ht="28.5" customHeight="1">
      <c r="A39" s="137" t="s">
        <v>323</v>
      </c>
      <c r="B39" s="33"/>
      <c r="C39" s="34"/>
      <c r="D39" s="34"/>
      <c r="E39" s="34"/>
      <c r="F39" s="34"/>
      <c r="G39" s="35"/>
      <c r="H39" s="34"/>
      <c r="I39" s="34"/>
      <c r="J39" s="34"/>
      <c r="K39" s="34"/>
      <c r="L39" s="34"/>
      <c r="M39" s="34"/>
      <c r="N39" s="36"/>
    </row>
    <row r="40" spans="1:14" s="19" customFormat="1" ht="28.5" customHeight="1">
      <c r="A40" s="138" t="s">
        <v>324</v>
      </c>
      <c r="B40" s="40"/>
      <c r="C40" s="41"/>
      <c r="D40" s="41"/>
      <c r="E40" s="41"/>
      <c r="F40" s="41"/>
      <c r="G40" s="131"/>
      <c r="H40" s="41"/>
      <c r="I40" s="41"/>
      <c r="J40" s="41"/>
      <c r="K40" s="41"/>
      <c r="L40" s="41"/>
      <c r="M40" s="41"/>
      <c r="N40" s="132"/>
    </row>
    <row r="45" spans="1:14" ht="33">
      <c r="B45" s="133" t="s">
        <v>337</v>
      </c>
      <c r="C45" s="837" t="s">
        <v>338</v>
      </c>
      <c r="D45" s="837"/>
      <c r="E45" s="837"/>
      <c r="F45" s="837"/>
      <c r="G45" s="465" t="s">
        <v>339</v>
      </c>
      <c r="H45" s="838" t="s">
        <v>532</v>
      </c>
      <c r="I45" s="839"/>
      <c r="J45" s="840"/>
      <c r="K45" s="838" t="s">
        <v>531</v>
      </c>
      <c r="L45" s="840"/>
      <c r="M45" s="837" t="s">
        <v>152</v>
      </c>
      <c r="N45" s="837"/>
    </row>
    <row r="46" spans="1:14">
      <c r="B46" s="10" t="s">
        <v>212</v>
      </c>
      <c r="C46" s="841">
        <v>0</v>
      </c>
      <c r="D46" s="841"/>
      <c r="E46" s="841"/>
      <c r="F46" s="841"/>
      <c r="G46" s="235">
        <v>0</v>
      </c>
      <c r="H46" s="845">
        <v>0</v>
      </c>
      <c r="I46" s="846"/>
      <c r="J46" s="847"/>
      <c r="K46" s="848">
        <v>0</v>
      </c>
      <c r="L46" s="849"/>
      <c r="M46" s="842">
        <v>1</v>
      </c>
      <c r="N46" s="843"/>
    </row>
    <row r="47" spans="1:14">
      <c r="B47" s="10" t="s">
        <v>213</v>
      </c>
      <c r="C47" s="841">
        <v>2</v>
      </c>
      <c r="D47" s="841"/>
      <c r="E47" s="841"/>
      <c r="F47" s="841"/>
      <c r="G47" s="235">
        <v>0</v>
      </c>
      <c r="H47" s="845">
        <v>2</v>
      </c>
      <c r="I47" s="846"/>
      <c r="J47" s="847"/>
      <c r="K47" s="848">
        <v>0</v>
      </c>
      <c r="L47" s="849"/>
      <c r="M47" s="844">
        <f>+H47/C47</f>
        <v>1</v>
      </c>
      <c r="N47" s="844"/>
    </row>
    <row r="48" spans="1:14">
      <c r="B48" s="10" t="s">
        <v>214</v>
      </c>
      <c r="C48" s="841">
        <v>2</v>
      </c>
      <c r="D48" s="841"/>
      <c r="E48" s="841"/>
      <c r="F48" s="841"/>
      <c r="G48" s="235">
        <v>0</v>
      </c>
      <c r="H48" s="845">
        <v>2</v>
      </c>
      <c r="I48" s="846"/>
      <c r="J48" s="847"/>
      <c r="K48" s="848">
        <v>0</v>
      </c>
      <c r="L48" s="849"/>
      <c r="M48" s="844">
        <f>+H48/C48</f>
        <v>1</v>
      </c>
      <c r="N48" s="844"/>
    </row>
    <row r="49" spans="2:14">
      <c r="B49" s="10" t="s">
        <v>215</v>
      </c>
      <c r="C49" s="841">
        <v>1</v>
      </c>
      <c r="D49" s="841"/>
      <c r="E49" s="841"/>
      <c r="F49" s="841"/>
      <c r="G49" s="235">
        <v>0</v>
      </c>
      <c r="H49" s="845">
        <v>1</v>
      </c>
      <c r="I49" s="846"/>
      <c r="J49" s="847"/>
      <c r="K49" s="848">
        <v>0</v>
      </c>
      <c r="L49" s="849"/>
      <c r="M49" s="844">
        <f>+H49/C49</f>
        <v>1</v>
      </c>
      <c r="N49" s="844"/>
    </row>
    <row r="50" spans="2:14">
      <c r="B50" s="10" t="s">
        <v>216</v>
      </c>
      <c r="C50" s="841">
        <v>3</v>
      </c>
      <c r="D50" s="841"/>
      <c r="E50" s="841"/>
      <c r="F50" s="841"/>
      <c r="G50" s="235">
        <v>0</v>
      </c>
      <c r="H50" s="845">
        <v>3</v>
      </c>
      <c r="I50" s="846"/>
      <c r="J50" s="847"/>
      <c r="K50" s="848">
        <v>0</v>
      </c>
      <c r="L50" s="849"/>
      <c r="M50" s="844">
        <f t="shared" ref="M50:M51" si="0">+H50/C50</f>
        <v>1</v>
      </c>
      <c r="N50" s="844"/>
    </row>
    <row r="51" spans="2:14">
      <c r="B51" s="10" t="s">
        <v>217</v>
      </c>
      <c r="C51" s="841">
        <v>1</v>
      </c>
      <c r="D51" s="841"/>
      <c r="E51" s="841"/>
      <c r="F51" s="841"/>
      <c r="G51" s="235">
        <v>0</v>
      </c>
      <c r="H51" s="845">
        <v>1</v>
      </c>
      <c r="I51" s="846"/>
      <c r="J51" s="847"/>
      <c r="K51" s="848">
        <v>0</v>
      </c>
      <c r="L51" s="849"/>
      <c r="M51" s="844">
        <f t="shared" si="0"/>
        <v>1</v>
      </c>
      <c r="N51" s="844"/>
    </row>
    <row r="52" spans="2:14">
      <c r="B52" s="10" t="s">
        <v>218</v>
      </c>
      <c r="C52" s="841">
        <v>0</v>
      </c>
      <c r="D52" s="841"/>
      <c r="E52" s="841"/>
      <c r="F52" s="841"/>
      <c r="G52" s="235">
        <v>0</v>
      </c>
      <c r="H52" s="845">
        <v>0</v>
      </c>
      <c r="I52" s="846"/>
      <c r="J52" s="847"/>
      <c r="K52" s="848">
        <v>0</v>
      </c>
      <c r="L52" s="849"/>
      <c r="M52" s="844">
        <v>1</v>
      </c>
      <c r="N52" s="844"/>
    </row>
    <row r="53" spans="2:14">
      <c r="B53" s="10" t="s">
        <v>219</v>
      </c>
      <c r="C53" s="841"/>
      <c r="D53" s="841"/>
      <c r="E53" s="841"/>
      <c r="F53" s="841"/>
      <c r="G53" s="235"/>
      <c r="H53" s="845"/>
      <c r="I53" s="846"/>
      <c r="J53" s="847"/>
      <c r="K53" s="848"/>
      <c r="L53" s="849"/>
      <c r="M53" s="844" t="e">
        <f t="shared" ref="M53:M57" si="1">G53/C53</f>
        <v>#DIV/0!</v>
      </c>
      <c r="N53" s="844"/>
    </row>
    <row r="54" spans="2:14">
      <c r="B54" s="10" t="s">
        <v>220</v>
      </c>
      <c r="C54" s="841"/>
      <c r="D54" s="841"/>
      <c r="E54" s="841"/>
      <c r="F54" s="841"/>
      <c r="G54" s="235"/>
      <c r="H54" s="850"/>
      <c r="I54" s="851"/>
      <c r="J54" s="852"/>
      <c r="K54" s="848"/>
      <c r="L54" s="849"/>
      <c r="M54" s="844" t="e">
        <f t="shared" si="1"/>
        <v>#DIV/0!</v>
      </c>
      <c r="N54" s="844"/>
    </row>
    <row r="55" spans="2:14">
      <c r="B55" s="10" t="s">
        <v>221</v>
      </c>
      <c r="C55" s="841"/>
      <c r="D55" s="841"/>
      <c r="E55" s="841"/>
      <c r="F55" s="841"/>
      <c r="G55" s="235"/>
      <c r="H55" s="850"/>
      <c r="I55" s="851"/>
      <c r="J55" s="852"/>
      <c r="K55" s="848"/>
      <c r="L55" s="849"/>
      <c r="M55" s="844" t="e">
        <f t="shared" si="1"/>
        <v>#DIV/0!</v>
      </c>
      <c r="N55" s="844"/>
    </row>
    <row r="56" spans="2:14">
      <c r="B56" s="10" t="s">
        <v>222</v>
      </c>
      <c r="C56" s="841"/>
      <c r="D56" s="841"/>
      <c r="E56" s="841"/>
      <c r="F56" s="841"/>
      <c r="G56" s="235"/>
      <c r="H56" s="850"/>
      <c r="I56" s="851"/>
      <c r="J56" s="852"/>
      <c r="K56" s="848"/>
      <c r="L56" s="849"/>
      <c r="M56" s="844" t="e">
        <f t="shared" si="1"/>
        <v>#DIV/0!</v>
      </c>
      <c r="N56" s="844"/>
    </row>
    <row r="57" spans="2:14">
      <c r="B57" s="10" t="s">
        <v>223</v>
      </c>
      <c r="C57" s="841"/>
      <c r="D57" s="841"/>
      <c r="E57" s="841"/>
      <c r="F57" s="841"/>
      <c r="G57" s="235"/>
      <c r="H57" s="850"/>
      <c r="I57" s="851"/>
      <c r="J57" s="852"/>
      <c r="K57" s="848"/>
      <c r="L57" s="849"/>
      <c r="M57" s="844" t="e">
        <f t="shared" si="1"/>
        <v>#DIV/0!</v>
      </c>
      <c r="N57" s="844"/>
    </row>
  </sheetData>
  <mergeCells count="94">
    <mergeCell ref="C54:F54"/>
    <mergeCell ref="M54:N54"/>
    <mergeCell ref="C57:F57"/>
    <mergeCell ref="M57:N57"/>
    <mergeCell ref="C55:F55"/>
    <mergeCell ref="M55:N55"/>
    <mergeCell ref="C56:F56"/>
    <mergeCell ref="M56:N56"/>
    <mergeCell ref="H54:J54"/>
    <mergeCell ref="K54:L54"/>
    <mergeCell ref="H55:J55"/>
    <mergeCell ref="K55:L55"/>
    <mergeCell ref="H56:J56"/>
    <mergeCell ref="K56:L56"/>
    <mergeCell ref="H57:J57"/>
    <mergeCell ref="K57:L57"/>
    <mergeCell ref="C52:F52"/>
    <mergeCell ref="M52:N52"/>
    <mergeCell ref="C53:F53"/>
    <mergeCell ref="M53:N53"/>
    <mergeCell ref="H52:J52"/>
    <mergeCell ref="K52:L52"/>
    <mergeCell ref="H53:J53"/>
    <mergeCell ref="K53:L53"/>
    <mergeCell ref="C50:F50"/>
    <mergeCell ref="M50:N50"/>
    <mergeCell ref="C51:F51"/>
    <mergeCell ref="M51:N51"/>
    <mergeCell ref="H50:J50"/>
    <mergeCell ref="K50:L50"/>
    <mergeCell ref="H51:J51"/>
    <mergeCell ref="K51:L51"/>
    <mergeCell ref="C48:F48"/>
    <mergeCell ref="M48:N48"/>
    <mergeCell ref="C49:F49"/>
    <mergeCell ref="M49:N49"/>
    <mergeCell ref="H48:J48"/>
    <mergeCell ref="K48:L48"/>
    <mergeCell ref="H49:J49"/>
    <mergeCell ref="K49:L49"/>
    <mergeCell ref="C46:F46"/>
    <mergeCell ref="M46:N46"/>
    <mergeCell ref="C47:F47"/>
    <mergeCell ref="M47:N47"/>
    <mergeCell ref="H46:J46"/>
    <mergeCell ref="K46:L46"/>
    <mergeCell ref="H47:J47"/>
    <mergeCell ref="K47:L47"/>
    <mergeCell ref="B37:F37"/>
    <mergeCell ref="G37:N37"/>
    <mergeCell ref="B38:F38"/>
    <mergeCell ref="G38:N38"/>
    <mergeCell ref="C45:F45"/>
    <mergeCell ref="M45:N45"/>
    <mergeCell ref="H45:J45"/>
    <mergeCell ref="K45:L45"/>
    <mergeCell ref="B32:F32"/>
    <mergeCell ref="G32:N32"/>
    <mergeCell ref="A23:B23"/>
    <mergeCell ref="B30:F30"/>
    <mergeCell ref="G30:N30"/>
    <mergeCell ref="B29:F29"/>
    <mergeCell ref="G29:N29"/>
    <mergeCell ref="A1:J4"/>
    <mergeCell ref="K1:L1"/>
    <mergeCell ref="M1:N1"/>
    <mergeCell ref="K2:L2"/>
    <mergeCell ref="M2:N2"/>
    <mergeCell ref="K3:L3"/>
    <mergeCell ref="M3:N3"/>
    <mergeCell ref="K4:L4"/>
    <mergeCell ref="M4:N4"/>
    <mergeCell ref="C6:N6"/>
    <mergeCell ref="C7:N7"/>
    <mergeCell ref="C9:N9"/>
    <mergeCell ref="C12:N12"/>
    <mergeCell ref="B33:F33"/>
    <mergeCell ref="G33:N33"/>
    <mergeCell ref="A13:B13"/>
    <mergeCell ref="C13:N13"/>
    <mergeCell ref="C14:N14"/>
    <mergeCell ref="C15:N15"/>
    <mergeCell ref="A16:B16"/>
    <mergeCell ref="C16:N16"/>
    <mergeCell ref="A17:B17"/>
    <mergeCell ref="C17:N17"/>
    <mergeCell ref="B31:F31"/>
    <mergeCell ref="G31:N31"/>
    <mergeCell ref="B34:F34"/>
    <mergeCell ref="G34:N34"/>
    <mergeCell ref="B35:F35"/>
    <mergeCell ref="G35:N35"/>
    <mergeCell ref="B36:F36"/>
    <mergeCell ref="G36:N36"/>
  </mergeCells>
  <hyperlinks>
    <hyperlink ref="O5" location="'Matriz Sta Ana'!A1" display="Volver" xr:uid="{CF0D6104-CC09-4F04-8C4E-B9084D11E99D}"/>
  </hyperlinks>
  <pageMargins left="0.7" right="0.7" top="0.75" bottom="0.75" header="0.3" footer="0.3"/>
  <pageSetup paperSize="9" scale="53" orientation="portrait" r:id="rId1"/>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48CDC8-9860-4653-A099-816B6BC1B2EA}">
  <sheetPr>
    <tabColor theme="4" tint="0.39997558519241921"/>
  </sheetPr>
  <dimension ref="A1:O54"/>
  <sheetViews>
    <sheetView view="pageBreakPreview" topLeftCell="A27" zoomScaleNormal="100" zoomScaleSheetLayoutView="100" workbookViewId="0">
      <selection activeCell="R25" sqref="R25"/>
    </sheetView>
  </sheetViews>
  <sheetFormatPr baseColWidth="10" defaultColWidth="11.42578125" defaultRowHeight="16.5"/>
  <cols>
    <col min="1" max="1" width="7.42578125" style="5" customWidth="1"/>
    <col min="2" max="2" width="38.5703125" style="5" customWidth="1"/>
    <col min="3" max="3" width="7.140625" style="4" customWidth="1"/>
    <col min="4" max="5" width="8.42578125" style="4" bestFit="1" customWidth="1"/>
    <col min="6" max="6" width="9.42578125" style="4" customWidth="1"/>
    <col min="7" max="7" width="13.5703125" style="4" customWidth="1"/>
    <col min="8" max="9" width="7.140625" style="4" customWidth="1"/>
    <col min="10" max="10" width="7.85546875" style="4" bestFit="1" customWidth="1"/>
    <col min="11" max="11" width="7.140625" style="4" customWidth="1"/>
    <col min="12" max="12" width="7.85546875" style="4" bestFit="1" customWidth="1"/>
    <col min="13" max="13" width="7.140625" style="4" customWidth="1"/>
    <col min="14" max="14" width="8.140625" style="4"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c r="A6" s="5" t="s">
        <v>121</v>
      </c>
      <c r="C6" s="734" t="s">
        <v>706</v>
      </c>
      <c r="D6" s="734"/>
      <c r="E6" s="734"/>
      <c r="F6" s="734"/>
      <c r="G6" s="734"/>
      <c r="H6" s="734"/>
      <c r="I6" s="734"/>
      <c r="J6" s="734"/>
      <c r="K6" s="734"/>
      <c r="L6" s="734"/>
      <c r="M6" s="734"/>
      <c r="N6" s="734"/>
    </row>
    <row r="7" spans="1:15">
      <c r="A7" s="5" t="s">
        <v>3</v>
      </c>
      <c r="C7" s="700" t="s">
        <v>231</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c r="A9" s="5" t="s">
        <v>124</v>
      </c>
      <c r="C9" s="735">
        <v>1</v>
      </c>
      <c r="D9" s="736"/>
      <c r="E9" s="736"/>
      <c r="F9" s="736"/>
      <c r="G9" s="736"/>
      <c r="H9" s="736"/>
      <c r="I9" s="736"/>
      <c r="J9" s="736"/>
      <c r="K9" s="736"/>
      <c r="L9" s="736"/>
      <c r="M9" s="736"/>
      <c r="N9" s="736"/>
    </row>
    <row r="10" spans="1:15">
      <c r="A10" s="5" t="s">
        <v>5</v>
      </c>
      <c r="C10" s="64" t="s">
        <v>15</v>
      </c>
      <c r="D10" s="64"/>
      <c r="E10" s="64"/>
      <c r="F10" s="64"/>
      <c r="G10" s="64"/>
      <c r="H10" s="64"/>
      <c r="I10" s="64"/>
      <c r="J10" s="64"/>
      <c r="K10" s="64"/>
      <c r="L10" s="64"/>
      <c r="M10" s="64"/>
      <c r="N10" s="64"/>
    </row>
    <row r="11" spans="1:15">
      <c r="A11" s="5" t="s">
        <v>6</v>
      </c>
      <c r="C11" s="64" t="s">
        <v>227</v>
      </c>
      <c r="D11" s="64"/>
      <c r="E11" s="64"/>
      <c r="F11" s="64"/>
      <c r="G11" s="64"/>
      <c r="H11" s="64"/>
      <c r="I11" s="64"/>
      <c r="J11" s="64"/>
      <c r="K11" s="64"/>
      <c r="L11" s="64"/>
      <c r="M11" s="64"/>
      <c r="N11" s="64"/>
    </row>
    <row r="12" spans="1:15">
      <c r="A12" s="5" t="s">
        <v>7</v>
      </c>
      <c r="C12" s="700"/>
      <c r="D12" s="700"/>
      <c r="E12" s="700"/>
      <c r="F12" s="700"/>
      <c r="G12" s="700"/>
      <c r="H12" s="700"/>
      <c r="I12" s="700"/>
      <c r="J12" s="700"/>
      <c r="K12" s="700"/>
      <c r="L12" s="700"/>
      <c r="M12" s="700"/>
      <c r="N12" s="700"/>
    </row>
    <row r="13" spans="1:15">
      <c r="A13" s="737" t="s">
        <v>125</v>
      </c>
      <c r="B13" s="737"/>
      <c r="C13" s="700" t="s">
        <v>227</v>
      </c>
      <c r="D13" s="700"/>
      <c r="E13" s="700"/>
      <c r="F13" s="700"/>
      <c r="G13" s="700"/>
      <c r="H13" s="700"/>
      <c r="I13" s="700"/>
      <c r="J13" s="700"/>
      <c r="K13" s="700"/>
      <c r="L13" s="700"/>
      <c r="M13" s="700"/>
      <c r="N13" s="700"/>
    </row>
    <row r="14" spans="1:15">
      <c r="A14" s="5" t="s">
        <v>127</v>
      </c>
      <c r="C14" s="700"/>
      <c r="D14" s="700"/>
      <c r="E14" s="700"/>
      <c r="F14" s="700"/>
      <c r="G14" s="700"/>
      <c r="H14" s="700"/>
      <c r="I14" s="700"/>
      <c r="J14" s="700"/>
      <c r="K14" s="700"/>
      <c r="L14" s="700"/>
      <c r="M14" s="700"/>
      <c r="N14" s="700"/>
    </row>
    <row r="15" spans="1:15">
      <c r="A15" s="5" t="s">
        <v>10</v>
      </c>
      <c r="C15" s="701" t="s">
        <v>235</v>
      </c>
      <c r="D15" s="701"/>
      <c r="E15" s="701"/>
      <c r="F15" s="701"/>
      <c r="G15" s="701"/>
      <c r="H15" s="701"/>
      <c r="I15" s="701"/>
      <c r="J15" s="701"/>
      <c r="K15" s="701"/>
      <c r="L15" s="701"/>
      <c r="M15" s="701"/>
      <c r="N15" s="701"/>
    </row>
    <row r="16" spans="1:15">
      <c r="A16" s="737" t="s">
        <v>128</v>
      </c>
      <c r="B16" s="737"/>
      <c r="C16" s="701" t="s">
        <v>235</v>
      </c>
      <c r="D16" s="701"/>
      <c r="E16" s="701"/>
      <c r="F16" s="701"/>
      <c r="G16" s="701"/>
      <c r="H16" s="701"/>
      <c r="I16" s="701"/>
      <c r="J16" s="701"/>
      <c r="K16" s="701"/>
      <c r="L16" s="701"/>
      <c r="M16" s="701"/>
      <c r="N16" s="701"/>
    </row>
    <row r="17" spans="1:14" ht="24.75" customHeight="1">
      <c r="A17" s="707" t="s">
        <v>443</v>
      </c>
      <c r="B17" s="707"/>
      <c r="C17" s="708">
        <v>44784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0" t="s">
        <v>129</v>
      </c>
      <c r="C19" s="124" t="s">
        <v>326</v>
      </c>
      <c r="D19" s="124" t="s">
        <v>327</v>
      </c>
      <c r="E19" s="124" t="s">
        <v>328</v>
      </c>
      <c r="F19" s="124" t="s">
        <v>329</v>
      </c>
      <c r="G19" s="124" t="s">
        <v>330</v>
      </c>
      <c r="H19" s="124" t="s">
        <v>331</v>
      </c>
      <c r="I19" s="124" t="s">
        <v>332</v>
      </c>
      <c r="J19" s="124" t="s">
        <v>333</v>
      </c>
      <c r="K19" s="124" t="s">
        <v>321</v>
      </c>
      <c r="L19" s="124" t="s">
        <v>322</v>
      </c>
      <c r="M19" s="124" t="s">
        <v>323</v>
      </c>
      <c r="N19" s="124" t="s">
        <v>324</v>
      </c>
    </row>
    <row r="20" spans="1:14">
      <c r="A20" s="4"/>
      <c r="B20" s="125" t="s">
        <v>334</v>
      </c>
      <c r="C20" s="11">
        <f>+C43</f>
        <v>17</v>
      </c>
      <c r="D20" s="11">
        <f>+C44</f>
        <v>17</v>
      </c>
      <c r="E20" s="11">
        <f>+C45</f>
        <v>22</v>
      </c>
      <c r="F20" s="11">
        <f>+C46</f>
        <v>10</v>
      </c>
      <c r="G20" s="11">
        <f>+C47</f>
        <v>21</v>
      </c>
      <c r="H20" s="11">
        <f>+C48</f>
        <v>13</v>
      </c>
      <c r="I20" s="11">
        <f>+C49</f>
        <v>15</v>
      </c>
      <c r="J20" s="11">
        <f>+C50</f>
        <v>0</v>
      </c>
      <c r="K20" s="11">
        <f>+C51</f>
        <v>0</v>
      </c>
      <c r="L20" s="11">
        <f>+C52</f>
        <v>0</v>
      </c>
      <c r="M20" s="11">
        <f>+C53</f>
        <v>0</v>
      </c>
      <c r="N20" s="11">
        <f>+C54</f>
        <v>0</v>
      </c>
    </row>
    <row r="21" spans="1:14">
      <c r="A21" s="4"/>
      <c r="B21" s="10" t="s">
        <v>335</v>
      </c>
      <c r="C21" s="11">
        <f>+G43</f>
        <v>0</v>
      </c>
      <c r="D21" s="11">
        <f>+G44</f>
        <v>0</v>
      </c>
      <c r="E21" s="11">
        <f>+G45</f>
        <v>0</v>
      </c>
      <c r="F21" s="11">
        <v>0</v>
      </c>
      <c r="G21" s="11">
        <v>0</v>
      </c>
      <c r="H21" s="11">
        <v>0</v>
      </c>
      <c r="I21" s="11">
        <v>0</v>
      </c>
      <c r="J21" s="11">
        <v>0</v>
      </c>
      <c r="K21" s="11">
        <v>0</v>
      </c>
      <c r="L21" s="11">
        <v>0</v>
      </c>
      <c r="M21" s="11">
        <v>0</v>
      </c>
      <c r="N21" s="11">
        <v>0</v>
      </c>
    </row>
    <row r="22" spans="1:14" s="126" customFormat="1">
      <c r="B22" s="127" t="s">
        <v>336</v>
      </c>
      <c r="C22" s="128">
        <v>1</v>
      </c>
      <c r="D22" s="128">
        <v>1</v>
      </c>
      <c r="E22" s="128">
        <v>1</v>
      </c>
      <c r="F22" s="128">
        <v>1</v>
      </c>
      <c r="G22" s="128">
        <v>1</v>
      </c>
      <c r="H22" s="128">
        <v>1</v>
      </c>
      <c r="I22" s="128">
        <v>1</v>
      </c>
      <c r="J22" s="128">
        <v>1</v>
      </c>
      <c r="K22" s="128">
        <v>1</v>
      </c>
      <c r="L22" s="128">
        <v>1</v>
      </c>
      <c r="M22" s="128">
        <v>1</v>
      </c>
      <c r="N22" s="128">
        <v>1</v>
      </c>
    </row>
    <row r="23" spans="1:14" s="130" customFormat="1" ht="35.25" customHeight="1">
      <c r="A23" s="834" t="s">
        <v>142</v>
      </c>
      <c r="B23" s="835"/>
      <c r="C23" s="134">
        <f>+M43</f>
        <v>1</v>
      </c>
      <c r="D23" s="134">
        <f>+M44</f>
        <v>1</v>
      </c>
      <c r="E23" s="134">
        <f>+M45</f>
        <v>1</v>
      </c>
      <c r="F23" s="134">
        <f>+M46</f>
        <v>1</v>
      </c>
      <c r="G23" s="134">
        <v>1</v>
      </c>
      <c r="H23" s="134">
        <v>1</v>
      </c>
      <c r="I23" s="134">
        <v>1</v>
      </c>
      <c r="J23" s="134" t="e">
        <f>+M50</f>
        <v>#DIV/0!</v>
      </c>
      <c r="K23" s="134" t="e">
        <f>+M51</f>
        <v>#DIV/0!</v>
      </c>
      <c r="L23" s="134" t="e">
        <f>+M52</f>
        <v>#DIV/0!</v>
      </c>
      <c r="M23" s="134" t="e">
        <f>+M53</f>
        <v>#DIV/0!</v>
      </c>
      <c r="N23" s="134" t="e">
        <f>+M54</f>
        <v>#DIV/0!</v>
      </c>
    </row>
    <row r="24" spans="1:14" ht="42" customHeight="1">
      <c r="A24" s="13" t="s">
        <v>143</v>
      </c>
      <c r="B24" s="13"/>
      <c r="C24" s="14">
        <v>1</v>
      </c>
      <c r="D24" s="14">
        <v>1</v>
      </c>
      <c r="E24" s="14">
        <v>1</v>
      </c>
      <c r="F24" s="14">
        <v>1</v>
      </c>
      <c r="G24" s="14">
        <v>1</v>
      </c>
      <c r="H24" s="14">
        <v>1</v>
      </c>
      <c r="I24" s="14">
        <v>1</v>
      </c>
      <c r="J24" s="14">
        <v>1</v>
      </c>
      <c r="K24" s="14">
        <v>1</v>
      </c>
      <c r="L24" s="14">
        <v>1</v>
      </c>
      <c r="M24" s="14">
        <v>1</v>
      </c>
      <c r="N24" s="14">
        <v>1</v>
      </c>
    </row>
    <row r="25" spans="1:14" s="19" customFormat="1" ht="207" customHeight="1">
      <c r="A25" s="15" t="s">
        <v>144</v>
      </c>
      <c r="B25" s="16"/>
      <c r="C25" s="17"/>
      <c r="D25" s="17"/>
      <c r="E25" s="17"/>
      <c r="F25" s="17"/>
      <c r="G25" s="17"/>
      <c r="H25" s="17"/>
      <c r="I25" s="17"/>
      <c r="J25" s="17"/>
      <c r="K25" s="17"/>
      <c r="L25" s="17"/>
      <c r="M25" s="17"/>
      <c r="N25" s="18"/>
    </row>
    <row r="26" spans="1:14" ht="7.5" customHeight="1"/>
    <row r="27" spans="1:14" ht="25.5" customHeight="1">
      <c r="A27" s="20" t="s">
        <v>145</v>
      </c>
      <c r="B27" s="21"/>
      <c r="C27" s="22"/>
      <c r="D27" s="22"/>
      <c r="E27" s="22"/>
      <c r="F27" s="22"/>
      <c r="G27" s="23" t="s">
        <v>146</v>
      </c>
      <c r="H27" s="22"/>
      <c r="I27" s="22"/>
      <c r="J27" s="22"/>
      <c r="K27" s="22"/>
      <c r="L27" s="22"/>
      <c r="M27" s="22"/>
      <c r="N27" s="24"/>
    </row>
    <row r="28" spans="1:14" ht="25.5" customHeight="1">
      <c r="A28" s="25" t="s">
        <v>129</v>
      </c>
      <c r="G28" s="26"/>
      <c r="N28" s="27"/>
    </row>
    <row r="29" spans="1:14" s="19" customFormat="1" ht="22.5" customHeight="1">
      <c r="A29" s="28" t="str">
        <f>+C19</f>
        <v>ENE</v>
      </c>
      <c r="B29" s="827" t="s">
        <v>481</v>
      </c>
      <c r="C29" s="828"/>
      <c r="D29" s="828"/>
      <c r="E29" s="828"/>
      <c r="F29" s="829"/>
      <c r="G29" s="830" t="s">
        <v>482</v>
      </c>
      <c r="H29" s="831"/>
      <c r="I29" s="831"/>
      <c r="J29" s="831"/>
      <c r="K29" s="831"/>
      <c r="L29" s="831"/>
      <c r="M29" s="831"/>
      <c r="N29" s="832"/>
    </row>
    <row r="30" spans="1:14" s="19" customFormat="1" ht="22.5" customHeight="1">
      <c r="A30" s="32" t="str">
        <f>+D19</f>
        <v>FEB</v>
      </c>
      <c r="B30" s="827" t="s">
        <v>481</v>
      </c>
      <c r="C30" s="828"/>
      <c r="D30" s="828"/>
      <c r="E30" s="828"/>
      <c r="F30" s="829"/>
      <c r="G30" s="830" t="s">
        <v>482</v>
      </c>
      <c r="H30" s="831"/>
      <c r="I30" s="831"/>
      <c r="J30" s="831"/>
      <c r="K30" s="831"/>
      <c r="L30" s="831"/>
      <c r="M30" s="831"/>
      <c r="N30" s="832"/>
    </row>
    <row r="31" spans="1:14" s="19" customFormat="1" ht="22.5" customHeight="1">
      <c r="A31" s="32" t="str">
        <f>+E19</f>
        <v>MAR</v>
      </c>
      <c r="B31" s="827" t="s">
        <v>481</v>
      </c>
      <c r="C31" s="828"/>
      <c r="D31" s="828"/>
      <c r="E31" s="828"/>
      <c r="F31" s="829"/>
      <c r="G31" s="830" t="s">
        <v>482</v>
      </c>
      <c r="H31" s="831"/>
      <c r="I31" s="831"/>
      <c r="J31" s="831"/>
      <c r="K31" s="831"/>
      <c r="L31" s="831"/>
      <c r="M31" s="831"/>
      <c r="N31" s="832"/>
    </row>
    <row r="32" spans="1:14" s="19" customFormat="1" ht="14.1" customHeight="1">
      <c r="A32" s="32" t="str">
        <f>+F19</f>
        <v>ABR</v>
      </c>
      <c r="B32" s="827" t="s">
        <v>481</v>
      </c>
      <c r="C32" s="828"/>
      <c r="D32" s="828"/>
      <c r="E32" s="828"/>
      <c r="F32" s="829"/>
      <c r="G32" s="830" t="s">
        <v>482</v>
      </c>
      <c r="H32" s="831"/>
      <c r="I32" s="831"/>
      <c r="J32" s="831"/>
      <c r="K32" s="831"/>
      <c r="L32" s="831"/>
      <c r="M32" s="831"/>
      <c r="N32" s="832"/>
    </row>
    <row r="33" spans="1:14" s="19" customFormat="1" ht="17.25" customHeight="1">
      <c r="A33" s="32" t="str">
        <f>+G19</f>
        <v>MAY</v>
      </c>
      <c r="B33" s="827" t="s">
        <v>481</v>
      </c>
      <c r="C33" s="828"/>
      <c r="D33" s="828"/>
      <c r="E33" s="828"/>
      <c r="F33" s="829"/>
      <c r="G33" s="830" t="s">
        <v>482</v>
      </c>
      <c r="H33" s="831"/>
      <c r="I33" s="831"/>
      <c r="J33" s="831"/>
      <c r="K33" s="831"/>
      <c r="L33" s="831"/>
      <c r="M33" s="831"/>
      <c r="N33" s="832"/>
    </row>
    <row r="34" spans="1:14" s="19" customFormat="1" ht="17.25" customHeight="1">
      <c r="A34" s="32" t="str">
        <f>+H19</f>
        <v>JUN</v>
      </c>
      <c r="B34" s="827" t="s">
        <v>481</v>
      </c>
      <c r="C34" s="828"/>
      <c r="D34" s="828"/>
      <c r="E34" s="828"/>
      <c r="F34" s="829"/>
      <c r="G34" s="830" t="s">
        <v>482</v>
      </c>
      <c r="H34" s="831"/>
      <c r="I34" s="831"/>
      <c r="J34" s="831"/>
      <c r="K34" s="831"/>
      <c r="L34" s="831"/>
      <c r="M34" s="831"/>
      <c r="N34" s="832"/>
    </row>
    <row r="35" spans="1:14" s="19" customFormat="1" ht="17.25" customHeight="1">
      <c r="A35" s="32" t="str">
        <f>+I19</f>
        <v>JUL</v>
      </c>
      <c r="B35" s="827" t="s">
        <v>481</v>
      </c>
      <c r="C35" s="828"/>
      <c r="D35" s="828"/>
      <c r="E35" s="828"/>
      <c r="F35" s="829"/>
      <c r="G35" s="830" t="s">
        <v>482</v>
      </c>
      <c r="H35" s="831"/>
      <c r="I35" s="831"/>
      <c r="J35" s="831"/>
      <c r="K35" s="831"/>
      <c r="L35" s="831"/>
      <c r="M35" s="831"/>
      <c r="N35" s="832"/>
    </row>
    <row r="36" spans="1:14" s="19" customFormat="1" ht="17.25" customHeight="1">
      <c r="A36" s="32" t="str">
        <f>+J19</f>
        <v>AGO</v>
      </c>
      <c r="B36" s="827"/>
      <c r="C36" s="828"/>
      <c r="D36" s="828"/>
      <c r="E36" s="828"/>
      <c r="F36" s="829"/>
      <c r="G36" s="830"/>
      <c r="H36" s="831"/>
      <c r="I36" s="831"/>
      <c r="J36" s="831"/>
      <c r="K36" s="831"/>
      <c r="L36" s="831"/>
      <c r="M36" s="831"/>
      <c r="N36" s="832"/>
    </row>
    <row r="37" spans="1:14" s="19" customFormat="1" ht="38.25" customHeight="1">
      <c r="A37" s="32" t="str">
        <f>+K19</f>
        <v>SEP</v>
      </c>
      <c r="B37" s="827"/>
      <c r="C37" s="828"/>
      <c r="D37" s="828"/>
      <c r="E37" s="828"/>
      <c r="F37" s="829"/>
      <c r="G37" s="830"/>
      <c r="H37" s="831"/>
      <c r="I37" s="831"/>
      <c r="J37" s="831"/>
      <c r="K37" s="831"/>
      <c r="L37" s="831"/>
      <c r="M37" s="831"/>
      <c r="N37" s="832"/>
    </row>
    <row r="38" spans="1:14" s="19" customFormat="1" ht="38.25" customHeight="1">
      <c r="A38" s="32" t="str">
        <f>+L19</f>
        <v>OCT</v>
      </c>
      <c r="B38" s="827"/>
      <c r="C38" s="828"/>
      <c r="D38" s="828"/>
      <c r="E38" s="828"/>
      <c r="F38" s="829"/>
      <c r="G38" s="830"/>
      <c r="H38" s="831"/>
      <c r="I38" s="831"/>
      <c r="J38" s="831"/>
      <c r="K38" s="831"/>
      <c r="L38" s="831"/>
      <c r="M38" s="831"/>
      <c r="N38" s="832"/>
    </row>
    <row r="39" spans="1:14" s="19" customFormat="1" ht="17.25" customHeight="1">
      <c r="A39" s="32" t="str">
        <f>+M19</f>
        <v>NOV</v>
      </c>
      <c r="B39" s="827"/>
      <c r="C39" s="828"/>
      <c r="D39" s="828"/>
      <c r="E39" s="828"/>
      <c r="F39" s="829"/>
      <c r="G39" s="830"/>
      <c r="H39" s="831"/>
      <c r="I39" s="831"/>
      <c r="J39" s="831"/>
      <c r="K39" s="831"/>
      <c r="L39" s="831"/>
      <c r="M39" s="831"/>
      <c r="N39" s="832"/>
    </row>
    <row r="40" spans="1:14" s="19" customFormat="1" ht="17.25" customHeight="1">
      <c r="A40" s="39" t="str">
        <f>+N19</f>
        <v>DIC</v>
      </c>
      <c r="B40" s="827"/>
      <c r="C40" s="828"/>
      <c r="D40" s="828"/>
      <c r="E40" s="828"/>
      <c r="F40" s="829"/>
      <c r="G40" s="830"/>
      <c r="H40" s="831"/>
      <c r="I40" s="831"/>
      <c r="J40" s="831"/>
      <c r="K40" s="831"/>
      <c r="L40" s="831"/>
      <c r="M40" s="831"/>
      <c r="N40" s="832"/>
    </row>
    <row r="42" spans="1:14" s="466" customFormat="1" ht="33" customHeight="1">
      <c r="B42" s="133" t="s">
        <v>337</v>
      </c>
      <c r="C42" s="853" t="s">
        <v>338</v>
      </c>
      <c r="D42" s="853"/>
      <c r="E42" s="853"/>
      <c r="F42" s="853"/>
      <c r="G42" s="465" t="s">
        <v>339</v>
      </c>
      <c r="H42" s="838" t="s">
        <v>532</v>
      </c>
      <c r="I42" s="839"/>
      <c r="J42" s="840"/>
      <c r="K42" s="838" t="s">
        <v>531</v>
      </c>
      <c r="L42" s="840"/>
      <c r="M42" s="837" t="s">
        <v>152</v>
      </c>
      <c r="N42" s="837"/>
    </row>
    <row r="43" spans="1:14">
      <c r="B43" s="10" t="s">
        <v>212</v>
      </c>
      <c r="C43" s="841">
        <v>17</v>
      </c>
      <c r="D43" s="841"/>
      <c r="E43" s="841"/>
      <c r="F43" s="841"/>
      <c r="G43" s="235">
        <v>0</v>
      </c>
      <c r="H43" s="845">
        <v>17</v>
      </c>
      <c r="I43" s="846"/>
      <c r="J43" s="847"/>
      <c r="K43" s="848">
        <v>0</v>
      </c>
      <c r="L43" s="849"/>
      <c r="M43" s="844">
        <f t="shared" ref="M43:M49" si="0">H43/C43</f>
        <v>1</v>
      </c>
      <c r="N43" s="844"/>
    </row>
    <row r="44" spans="1:14">
      <c r="B44" s="10" t="s">
        <v>213</v>
      </c>
      <c r="C44" s="841">
        <v>17</v>
      </c>
      <c r="D44" s="841"/>
      <c r="E44" s="841"/>
      <c r="F44" s="841"/>
      <c r="G44" s="235">
        <v>0</v>
      </c>
      <c r="H44" s="845">
        <v>17</v>
      </c>
      <c r="I44" s="846"/>
      <c r="J44" s="847"/>
      <c r="K44" s="848">
        <v>0</v>
      </c>
      <c r="L44" s="849"/>
      <c r="M44" s="844">
        <f t="shared" si="0"/>
        <v>1</v>
      </c>
      <c r="N44" s="844"/>
    </row>
    <row r="45" spans="1:14">
      <c r="B45" s="10" t="s">
        <v>214</v>
      </c>
      <c r="C45" s="841">
        <v>22</v>
      </c>
      <c r="D45" s="841"/>
      <c r="E45" s="841"/>
      <c r="F45" s="841"/>
      <c r="G45" s="235">
        <v>0</v>
      </c>
      <c r="H45" s="845">
        <v>22</v>
      </c>
      <c r="I45" s="846"/>
      <c r="J45" s="847"/>
      <c r="K45" s="848">
        <v>0</v>
      </c>
      <c r="L45" s="849"/>
      <c r="M45" s="844">
        <f t="shared" si="0"/>
        <v>1</v>
      </c>
      <c r="N45" s="844"/>
    </row>
    <row r="46" spans="1:14">
      <c r="B46" s="10" t="s">
        <v>215</v>
      </c>
      <c r="C46" s="841">
        <v>10</v>
      </c>
      <c r="D46" s="841"/>
      <c r="E46" s="841"/>
      <c r="F46" s="841"/>
      <c r="G46" s="235">
        <v>0</v>
      </c>
      <c r="H46" s="845">
        <v>10</v>
      </c>
      <c r="I46" s="846"/>
      <c r="J46" s="847"/>
      <c r="K46" s="848">
        <v>0</v>
      </c>
      <c r="L46" s="849"/>
      <c r="M46" s="844">
        <f t="shared" si="0"/>
        <v>1</v>
      </c>
      <c r="N46" s="844"/>
    </row>
    <row r="47" spans="1:14">
      <c r="B47" s="10" t="s">
        <v>216</v>
      </c>
      <c r="C47" s="841">
        <v>21</v>
      </c>
      <c r="D47" s="841"/>
      <c r="E47" s="841"/>
      <c r="F47" s="841"/>
      <c r="G47" s="235">
        <v>0</v>
      </c>
      <c r="H47" s="845">
        <v>21</v>
      </c>
      <c r="I47" s="846"/>
      <c r="J47" s="847"/>
      <c r="K47" s="848">
        <v>0</v>
      </c>
      <c r="L47" s="849"/>
      <c r="M47" s="844">
        <f t="shared" si="0"/>
        <v>1</v>
      </c>
      <c r="N47" s="844"/>
    </row>
    <row r="48" spans="1:14">
      <c r="B48" s="10" t="s">
        <v>217</v>
      </c>
      <c r="C48" s="841">
        <v>13</v>
      </c>
      <c r="D48" s="841"/>
      <c r="E48" s="841"/>
      <c r="F48" s="841"/>
      <c r="G48" s="235">
        <v>0</v>
      </c>
      <c r="H48" s="845">
        <v>13</v>
      </c>
      <c r="I48" s="846"/>
      <c r="J48" s="847"/>
      <c r="K48" s="848">
        <v>0</v>
      </c>
      <c r="L48" s="849"/>
      <c r="M48" s="844">
        <f t="shared" si="0"/>
        <v>1</v>
      </c>
      <c r="N48" s="844"/>
    </row>
    <row r="49" spans="2:14">
      <c r="B49" s="10" t="s">
        <v>218</v>
      </c>
      <c r="C49" s="841">
        <v>15</v>
      </c>
      <c r="D49" s="841"/>
      <c r="E49" s="841"/>
      <c r="F49" s="841"/>
      <c r="G49" s="235">
        <v>0</v>
      </c>
      <c r="H49" s="845">
        <v>15</v>
      </c>
      <c r="I49" s="846"/>
      <c r="J49" s="847"/>
      <c r="K49" s="848">
        <v>0</v>
      </c>
      <c r="L49" s="849"/>
      <c r="M49" s="844">
        <f t="shared" si="0"/>
        <v>1</v>
      </c>
      <c r="N49" s="844"/>
    </row>
    <row r="50" spans="2:14">
      <c r="B50" s="10" t="s">
        <v>219</v>
      </c>
      <c r="C50" s="841"/>
      <c r="D50" s="841"/>
      <c r="E50" s="841"/>
      <c r="F50" s="841"/>
      <c r="G50" s="235"/>
      <c r="H50" s="850"/>
      <c r="I50" s="851"/>
      <c r="J50" s="852"/>
      <c r="K50" s="848"/>
      <c r="L50" s="849"/>
      <c r="M50" s="844" t="e">
        <f t="shared" ref="M50:M54" si="1">G50/C50</f>
        <v>#DIV/0!</v>
      </c>
      <c r="N50" s="844"/>
    </row>
    <row r="51" spans="2:14">
      <c r="B51" s="10" t="s">
        <v>220</v>
      </c>
      <c r="C51" s="841"/>
      <c r="D51" s="841"/>
      <c r="E51" s="841"/>
      <c r="F51" s="841"/>
      <c r="G51" s="235"/>
      <c r="H51" s="850"/>
      <c r="I51" s="851"/>
      <c r="J51" s="852"/>
      <c r="K51" s="848"/>
      <c r="L51" s="849"/>
      <c r="M51" s="844" t="e">
        <f t="shared" si="1"/>
        <v>#DIV/0!</v>
      </c>
      <c r="N51" s="844"/>
    </row>
    <row r="52" spans="2:14">
      <c r="B52" s="10" t="s">
        <v>221</v>
      </c>
      <c r="C52" s="841"/>
      <c r="D52" s="841"/>
      <c r="E52" s="841"/>
      <c r="F52" s="841"/>
      <c r="G52" s="235"/>
      <c r="H52" s="850"/>
      <c r="I52" s="851"/>
      <c r="J52" s="852"/>
      <c r="K52" s="848"/>
      <c r="L52" s="849"/>
      <c r="M52" s="844" t="e">
        <f t="shared" si="1"/>
        <v>#DIV/0!</v>
      </c>
      <c r="N52" s="844"/>
    </row>
    <row r="53" spans="2:14">
      <c r="B53" s="10" t="s">
        <v>222</v>
      </c>
      <c r="C53" s="841"/>
      <c r="D53" s="841"/>
      <c r="E53" s="841"/>
      <c r="F53" s="841"/>
      <c r="G53" s="235"/>
      <c r="H53" s="850"/>
      <c r="I53" s="851"/>
      <c r="J53" s="852"/>
      <c r="K53" s="848"/>
      <c r="L53" s="849"/>
      <c r="M53" s="844" t="e">
        <f t="shared" si="1"/>
        <v>#DIV/0!</v>
      </c>
      <c r="N53" s="844"/>
    </row>
    <row r="54" spans="2:14">
      <c r="B54" s="10" t="s">
        <v>223</v>
      </c>
      <c r="C54" s="841"/>
      <c r="D54" s="841"/>
      <c r="E54" s="841"/>
      <c r="F54" s="841"/>
      <c r="G54" s="235"/>
      <c r="H54" s="850"/>
      <c r="I54" s="851"/>
      <c r="J54" s="852"/>
      <c r="K54" s="848"/>
      <c r="L54" s="849"/>
      <c r="M54" s="844" t="e">
        <f t="shared" si="1"/>
        <v>#DIV/0!</v>
      </c>
      <c r="N54" s="844"/>
    </row>
  </sheetData>
  <mergeCells count="98">
    <mergeCell ref="C53:F53"/>
    <mergeCell ref="M53:N53"/>
    <mergeCell ref="C54:F54"/>
    <mergeCell ref="C51:F51"/>
    <mergeCell ref="M51:N51"/>
    <mergeCell ref="C52:F52"/>
    <mergeCell ref="M52:N52"/>
    <mergeCell ref="M54:N54"/>
    <mergeCell ref="H51:J51"/>
    <mergeCell ref="H52:J52"/>
    <mergeCell ref="H53:J53"/>
    <mergeCell ref="H54:J54"/>
    <mergeCell ref="K51:L51"/>
    <mergeCell ref="K52:L52"/>
    <mergeCell ref="K53:L53"/>
    <mergeCell ref="K54:L54"/>
    <mergeCell ref="C49:F49"/>
    <mergeCell ref="M49:N49"/>
    <mergeCell ref="C50:F50"/>
    <mergeCell ref="M50:N50"/>
    <mergeCell ref="H49:J49"/>
    <mergeCell ref="H50:J50"/>
    <mergeCell ref="K49:L49"/>
    <mergeCell ref="K50:L50"/>
    <mergeCell ref="C47:F47"/>
    <mergeCell ref="M47:N47"/>
    <mergeCell ref="C48:F48"/>
    <mergeCell ref="M48:N48"/>
    <mergeCell ref="H47:J47"/>
    <mergeCell ref="H48:J48"/>
    <mergeCell ref="K48:L48"/>
    <mergeCell ref="K47:L47"/>
    <mergeCell ref="B39:F39"/>
    <mergeCell ref="G39:N39"/>
    <mergeCell ref="C42:F42"/>
    <mergeCell ref="M42:N42"/>
    <mergeCell ref="B40:F40"/>
    <mergeCell ref="G40:N40"/>
    <mergeCell ref="H42:J42"/>
    <mergeCell ref="K42:L42"/>
    <mergeCell ref="B36:F36"/>
    <mergeCell ref="G36:N36"/>
    <mergeCell ref="B37:F37"/>
    <mergeCell ref="G37:N37"/>
    <mergeCell ref="B38:F38"/>
    <mergeCell ref="G38:N38"/>
    <mergeCell ref="B33:F33"/>
    <mergeCell ref="G33:N33"/>
    <mergeCell ref="B34:F34"/>
    <mergeCell ref="G34:N34"/>
    <mergeCell ref="B35:F35"/>
    <mergeCell ref="G35:N35"/>
    <mergeCell ref="B30:F30"/>
    <mergeCell ref="G30:N30"/>
    <mergeCell ref="B31:F31"/>
    <mergeCell ref="G31:N31"/>
    <mergeCell ref="B32:F32"/>
    <mergeCell ref="G32:N32"/>
    <mergeCell ref="B29:F29"/>
    <mergeCell ref="G29:N29"/>
    <mergeCell ref="C6:N6"/>
    <mergeCell ref="C7:N7"/>
    <mergeCell ref="C9:N9"/>
    <mergeCell ref="C12:N12"/>
    <mergeCell ref="A13:B13"/>
    <mergeCell ref="C13:N13"/>
    <mergeCell ref="C14:N14"/>
    <mergeCell ref="C15:N15"/>
    <mergeCell ref="A16:B16"/>
    <mergeCell ref="C16:N16"/>
    <mergeCell ref="A23:B23"/>
    <mergeCell ref="A17:B17"/>
    <mergeCell ref="C17:N17"/>
    <mergeCell ref="A1:J4"/>
    <mergeCell ref="K1:L1"/>
    <mergeCell ref="M1:N1"/>
    <mergeCell ref="K2:L2"/>
    <mergeCell ref="M2:N2"/>
    <mergeCell ref="K3:L3"/>
    <mergeCell ref="M3:N3"/>
    <mergeCell ref="K4:L4"/>
    <mergeCell ref="M4:N4"/>
    <mergeCell ref="C46:F46"/>
    <mergeCell ref="M46:N46"/>
    <mergeCell ref="M43:N43"/>
    <mergeCell ref="C44:F44"/>
    <mergeCell ref="M44:N44"/>
    <mergeCell ref="C45:F45"/>
    <mergeCell ref="M45:N45"/>
    <mergeCell ref="C43:F43"/>
    <mergeCell ref="H43:J43"/>
    <mergeCell ref="H44:J44"/>
    <mergeCell ref="H45:J45"/>
    <mergeCell ref="H46:J46"/>
    <mergeCell ref="K43:L43"/>
    <mergeCell ref="K44:L44"/>
    <mergeCell ref="K45:L45"/>
    <mergeCell ref="K46:L46"/>
  </mergeCells>
  <hyperlinks>
    <hyperlink ref="O5" location="'Matriz Sta Ana'!A1" display="Volver" xr:uid="{FD5B75AF-A065-467B-8187-6C521147FF19}"/>
  </hyperlinks>
  <pageMargins left="0.7" right="0.7" top="0.75" bottom="0.75" header="0.3" footer="0.3"/>
  <pageSetup paperSize="9" scale="56" orientation="portrait" r:id="rId1"/>
  <colBreaks count="1" manualBreakCount="1">
    <brk id="14" max="1048575" man="1"/>
  </colBreaks>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51E83-B0E0-4F45-A723-0671049BF145}">
  <sheetPr>
    <tabColor theme="4" tint="0.39997558519241921"/>
    <pageSetUpPr fitToPage="1"/>
  </sheetPr>
  <dimension ref="A1:T39"/>
  <sheetViews>
    <sheetView view="pageBreakPreview" topLeftCell="A11" zoomScaleNormal="100" zoomScaleSheetLayoutView="100" workbookViewId="0">
      <selection activeCell="C14" sqref="C14:N14"/>
    </sheetView>
  </sheetViews>
  <sheetFormatPr baseColWidth="10" defaultColWidth="11.42578125" defaultRowHeight="16.5"/>
  <cols>
    <col min="1" max="1" width="7.42578125" style="5" customWidth="1"/>
    <col min="2" max="2" width="33.5703125" style="5" customWidth="1"/>
    <col min="3" max="5" width="7.140625" style="4" customWidth="1"/>
    <col min="6" max="6" width="9.42578125" style="4" customWidth="1"/>
    <col min="7" max="13" width="7.140625" style="4" customWidth="1"/>
    <col min="14" max="14" width="8.140625" style="4" customWidth="1"/>
    <col min="15" max="15" width="0.140625" style="4" customWidth="1"/>
    <col min="16" max="16384" width="11.42578125" style="4"/>
  </cols>
  <sheetData>
    <row r="1" spans="1:20" ht="21.75" customHeight="1">
      <c r="A1" s="719" t="s">
        <v>113</v>
      </c>
      <c r="B1" s="720"/>
      <c r="C1" s="720"/>
      <c r="D1" s="720"/>
      <c r="E1" s="720"/>
      <c r="F1" s="720"/>
      <c r="G1" s="720"/>
      <c r="H1" s="720"/>
      <c r="I1" s="720"/>
      <c r="J1" s="721"/>
      <c r="K1" s="728" t="s">
        <v>114</v>
      </c>
      <c r="L1" s="729"/>
      <c r="M1" s="728"/>
      <c r="N1" s="729"/>
    </row>
    <row r="2" spans="1:20" ht="21.75" customHeight="1">
      <c r="A2" s="722"/>
      <c r="B2" s="723"/>
      <c r="C2" s="723"/>
      <c r="D2" s="723"/>
      <c r="E2" s="723"/>
      <c r="F2" s="723"/>
      <c r="G2" s="723"/>
      <c r="H2" s="723"/>
      <c r="I2" s="723"/>
      <c r="J2" s="724"/>
      <c r="K2" s="728" t="s">
        <v>115</v>
      </c>
      <c r="L2" s="729"/>
      <c r="M2" s="728">
        <v>1</v>
      </c>
      <c r="N2" s="729"/>
    </row>
    <row r="3" spans="1:20" ht="21.75" customHeight="1">
      <c r="A3" s="722"/>
      <c r="B3" s="723"/>
      <c r="C3" s="723"/>
      <c r="D3" s="723"/>
      <c r="E3" s="723"/>
      <c r="F3" s="723"/>
      <c r="G3" s="723"/>
      <c r="H3" s="723"/>
      <c r="I3" s="723"/>
      <c r="J3" s="724"/>
      <c r="K3" s="728" t="s">
        <v>116</v>
      </c>
      <c r="L3" s="729"/>
      <c r="M3" s="732">
        <v>43464</v>
      </c>
      <c r="N3" s="733"/>
    </row>
    <row r="4" spans="1:20" ht="21.75" customHeight="1">
      <c r="A4" s="725"/>
      <c r="B4" s="726"/>
      <c r="C4" s="726"/>
      <c r="D4" s="726"/>
      <c r="E4" s="726"/>
      <c r="F4" s="726"/>
      <c r="G4" s="726"/>
      <c r="H4" s="726"/>
      <c r="I4" s="726"/>
      <c r="J4" s="727"/>
      <c r="K4" s="728" t="s">
        <v>117</v>
      </c>
      <c r="L4" s="729"/>
      <c r="M4" s="732" t="s">
        <v>118</v>
      </c>
      <c r="N4" s="733"/>
    </row>
    <row r="5" spans="1:20" ht="27.75" customHeight="1">
      <c r="M5" s="6"/>
      <c r="N5" s="7" t="s">
        <v>119</v>
      </c>
      <c r="O5" s="168" t="s">
        <v>120</v>
      </c>
      <c r="P5" s="52"/>
    </row>
    <row r="6" spans="1:20" ht="20.25" customHeight="1">
      <c r="A6" s="5" t="s">
        <v>121</v>
      </c>
      <c r="C6" s="734" t="s">
        <v>355</v>
      </c>
      <c r="D6" s="734"/>
      <c r="E6" s="734"/>
      <c r="F6" s="734"/>
      <c r="G6" s="734"/>
      <c r="H6" s="734"/>
      <c r="I6" s="734"/>
      <c r="J6" s="734"/>
      <c r="K6" s="734"/>
      <c r="L6" s="734"/>
      <c r="M6" s="734"/>
      <c r="N6" s="734"/>
    </row>
    <row r="7" spans="1:20" ht="18" customHeight="1">
      <c r="A7" s="5" t="s">
        <v>3</v>
      </c>
      <c r="C7" s="700" t="s">
        <v>356</v>
      </c>
      <c r="D7" s="700"/>
      <c r="E7" s="700"/>
      <c r="F7" s="700"/>
      <c r="G7" s="700"/>
      <c r="H7" s="700"/>
      <c r="I7" s="700"/>
      <c r="J7" s="700"/>
      <c r="K7" s="700"/>
      <c r="L7" s="700"/>
      <c r="M7" s="700"/>
      <c r="N7" s="700"/>
    </row>
    <row r="8" spans="1:20">
      <c r="A8" s="5" t="s">
        <v>122</v>
      </c>
      <c r="C8" s="8" t="s">
        <v>347</v>
      </c>
      <c r="D8" s="8"/>
      <c r="E8" s="8"/>
      <c r="F8" s="8"/>
      <c r="G8" s="8"/>
      <c r="H8" s="8"/>
      <c r="I8" s="8"/>
      <c r="J8" s="8"/>
      <c r="K8" s="8"/>
      <c r="L8" s="8"/>
      <c r="M8" s="8"/>
      <c r="N8" s="8"/>
      <c r="Q8" s="222"/>
      <c r="R8" s="222" t="s">
        <v>434</v>
      </c>
      <c r="S8" s="222">
        <v>2018</v>
      </c>
      <c r="T8" s="222">
        <v>2019</v>
      </c>
    </row>
    <row r="9" spans="1:20" ht="18" customHeight="1">
      <c r="A9" s="5" t="s">
        <v>124</v>
      </c>
      <c r="C9" s="735">
        <f>+'Matriz Sta Ana'!F17</f>
        <v>0.9</v>
      </c>
      <c r="D9" s="736"/>
      <c r="E9" s="736"/>
      <c r="F9" s="736"/>
      <c r="G9" s="736"/>
      <c r="H9" s="736"/>
      <c r="I9" s="736"/>
      <c r="J9" s="736"/>
      <c r="K9" s="736"/>
      <c r="L9" s="736"/>
      <c r="M9" s="736"/>
      <c r="N9" s="736"/>
      <c r="P9" s="234"/>
      <c r="Q9" s="236">
        <v>1</v>
      </c>
      <c r="R9" s="163">
        <v>30</v>
      </c>
      <c r="S9" s="235"/>
      <c r="T9" s="235" t="s">
        <v>435</v>
      </c>
    </row>
    <row r="10" spans="1:20">
      <c r="A10" s="5" t="s">
        <v>5</v>
      </c>
      <c r="C10" s="64" t="s">
        <v>77</v>
      </c>
      <c r="D10" s="64"/>
      <c r="E10" s="64"/>
      <c r="F10" s="64"/>
      <c r="G10" s="64"/>
      <c r="H10" s="64"/>
      <c r="I10" s="64"/>
      <c r="J10" s="64"/>
      <c r="K10" s="64"/>
      <c r="L10" s="64"/>
      <c r="M10" s="64"/>
      <c r="N10" s="64"/>
      <c r="Q10" s="236">
        <v>0.9</v>
      </c>
      <c r="R10" s="163">
        <v>33</v>
      </c>
      <c r="S10" s="235" t="s">
        <v>435</v>
      </c>
      <c r="T10" s="235"/>
    </row>
    <row r="11" spans="1:20">
      <c r="A11" s="5" t="s">
        <v>6</v>
      </c>
      <c r="C11" s="64" t="s">
        <v>227</v>
      </c>
      <c r="D11" s="64"/>
      <c r="E11" s="64"/>
      <c r="F11" s="64"/>
      <c r="G11" s="64"/>
      <c r="H11" s="64"/>
      <c r="I11" s="64"/>
      <c r="J11" s="64"/>
      <c r="K11" s="64"/>
      <c r="L11" s="64"/>
      <c r="M11" s="64"/>
      <c r="N11" s="64"/>
      <c r="Q11" s="236">
        <v>0.8</v>
      </c>
      <c r="R11" s="163">
        <f>+R10+3</f>
        <v>36</v>
      </c>
      <c r="S11" s="163"/>
      <c r="T11" s="163"/>
    </row>
    <row r="12" spans="1:20" ht="18" customHeight="1">
      <c r="A12" s="5" t="s">
        <v>7</v>
      </c>
      <c r="C12" s="700" t="s">
        <v>80</v>
      </c>
      <c r="D12" s="700"/>
      <c r="E12" s="700"/>
      <c r="F12" s="700"/>
      <c r="G12" s="700"/>
      <c r="H12" s="700"/>
      <c r="I12" s="700"/>
      <c r="J12" s="700"/>
      <c r="K12" s="700"/>
      <c r="L12" s="700"/>
      <c r="M12" s="700"/>
      <c r="N12" s="700"/>
      <c r="Q12" s="236">
        <v>0.7</v>
      </c>
      <c r="R12" s="163">
        <f t="shared" ref="R12:R18" si="0">+R11+3</f>
        <v>39</v>
      </c>
      <c r="S12" s="163"/>
      <c r="T12" s="163"/>
    </row>
    <row r="13" spans="1:20" ht="30" customHeight="1">
      <c r="A13" s="737" t="s">
        <v>125</v>
      </c>
      <c r="B13" s="737"/>
      <c r="C13" s="700" t="s">
        <v>228</v>
      </c>
      <c r="D13" s="700"/>
      <c r="E13" s="700"/>
      <c r="F13" s="700"/>
      <c r="G13" s="700"/>
      <c r="H13" s="700"/>
      <c r="I13" s="700"/>
      <c r="J13" s="700"/>
      <c r="K13" s="700"/>
      <c r="L13" s="700"/>
      <c r="M13" s="700"/>
      <c r="N13" s="700"/>
      <c r="Q13" s="236">
        <v>0.6</v>
      </c>
      <c r="R13" s="163">
        <f t="shared" si="0"/>
        <v>42</v>
      </c>
      <c r="S13" s="163"/>
      <c r="T13" s="163"/>
    </row>
    <row r="14" spans="1:20" ht="18.75" customHeight="1">
      <c r="A14" s="5" t="s">
        <v>127</v>
      </c>
      <c r="C14" s="700" t="str">
        <f>+'Matriz Sta Ana'!K17</f>
        <v xml:space="preserve">Permite apreciar el tiempo en que tarda una empresa en recuperar sus cuentas por cobrar a clientes. </v>
      </c>
      <c r="D14" s="700"/>
      <c r="E14" s="700"/>
      <c r="F14" s="700"/>
      <c r="G14" s="700"/>
      <c r="H14" s="700"/>
      <c r="I14" s="700"/>
      <c r="J14" s="700"/>
      <c r="K14" s="700"/>
      <c r="L14" s="700"/>
      <c r="M14" s="700"/>
      <c r="N14" s="700"/>
      <c r="Q14" s="236">
        <v>0.5</v>
      </c>
      <c r="R14" s="163">
        <f t="shared" si="0"/>
        <v>45</v>
      </c>
      <c r="S14" s="163"/>
      <c r="T14" s="163"/>
    </row>
    <row r="15" spans="1:20" ht="21" customHeight="1">
      <c r="A15" s="5" t="s">
        <v>10</v>
      </c>
      <c r="C15" s="701" t="s">
        <v>431</v>
      </c>
      <c r="D15" s="701"/>
      <c r="E15" s="701"/>
      <c r="F15" s="701"/>
      <c r="G15" s="701"/>
      <c r="H15" s="701"/>
      <c r="I15" s="701"/>
      <c r="J15" s="701"/>
      <c r="K15" s="701"/>
      <c r="L15" s="701"/>
      <c r="M15" s="701"/>
      <c r="N15" s="701"/>
      <c r="Q15" s="236">
        <v>0.4</v>
      </c>
      <c r="R15" s="163">
        <f t="shared" si="0"/>
        <v>48</v>
      </c>
      <c r="S15" s="163"/>
      <c r="T15" s="163"/>
    </row>
    <row r="16" spans="1:20" ht="51" customHeight="1">
      <c r="A16" s="737" t="s">
        <v>128</v>
      </c>
      <c r="B16" s="737"/>
      <c r="C16" s="833" t="s">
        <v>74</v>
      </c>
      <c r="D16" s="833"/>
      <c r="E16" s="833"/>
      <c r="F16" s="833"/>
      <c r="G16" s="833"/>
      <c r="H16" s="833"/>
      <c r="I16" s="833"/>
      <c r="J16" s="833"/>
      <c r="K16" s="833"/>
      <c r="L16" s="833"/>
      <c r="M16" s="833"/>
      <c r="N16" s="833"/>
      <c r="Q16" s="236">
        <v>0.3</v>
      </c>
      <c r="R16" s="163">
        <f t="shared" si="0"/>
        <v>51</v>
      </c>
      <c r="S16" s="163"/>
      <c r="T16" s="163"/>
    </row>
    <row r="17" spans="1:20">
      <c r="A17" s="4"/>
      <c r="B17" s="10" t="s">
        <v>129</v>
      </c>
      <c r="C17" s="11" t="s">
        <v>130</v>
      </c>
      <c r="D17" s="11" t="s">
        <v>131</v>
      </c>
      <c r="E17" s="11" t="s">
        <v>132</v>
      </c>
      <c r="F17" s="11" t="s">
        <v>133</v>
      </c>
      <c r="G17" s="11" t="s">
        <v>134</v>
      </c>
      <c r="H17" s="11" t="s">
        <v>135</v>
      </c>
      <c r="I17" s="11" t="s">
        <v>136</v>
      </c>
      <c r="J17" s="11" t="s">
        <v>137</v>
      </c>
      <c r="K17" s="11" t="s">
        <v>138</v>
      </c>
      <c r="L17" s="11" t="s">
        <v>139</v>
      </c>
      <c r="M17" s="11" t="s">
        <v>140</v>
      </c>
      <c r="N17" s="11" t="s">
        <v>141</v>
      </c>
      <c r="Q17" s="236">
        <v>0.2</v>
      </c>
      <c r="R17" s="163">
        <f t="shared" si="0"/>
        <v>54</v>
      </c>
      <c r="S17" s="163"/>
      <c r="T17" s="163"/>
    </row>
    <row r="18" spans="1:20">
      <c r="A18" s="4"/>
      <c r="B18" s="10"/>
      <c r="C18" s="11">
        <v>1</v>
      </c>
      <c r="D18" s="11">
        <v>2</v>
      </c>
      <c r="E18" s="11">
        <v>3</v>
      </c>
      <c r="F18" s="11">
        <v>4</v>
      </c>
      <c r="G18" s="11">
        <v>5</v>
      </c>
      <c r="H18" s="11">
        <v>6</v>
      </c>
      <c r="I18" s="11">
        <v>7</v>
      </c>
      <c r="J18" s="11">
        <v>8</v>
      </c>
      <c r="K18" s="11">
        <v>9</v>
      </c>
      <c r="L18" s="11">
        <v>10</v>
      </c>
      <c r="M18" s="11">
        <v>11</v>
      </c>
      <c r="N18" s="11">
        <v>12</v>
      </c>
      <c r="Q18" s="236">
        <v>0.1</v>
      </c>
      <c r="R18" s="163">
        <f t="shared" si="0"/>
        <v>57</v>
      </c>
      <c r="S18" s="163"/>
      <c r="T18" s="163"/>
    </row>
    <row r="19" spans="1:20" ht="35.25" customHeight="1">
      <c r="A19" s="702" t="s">
        <v>142</v>
      </c>
      <c r="B19" s="703"/>
      <c r="C19" s="11"/>
      <c r="D19" s="11"/>
      <c r="E19" s="11"/>
      <c r="F19" s="11"/>
      <c r="G19" s="11"/>
      <c r="H19" s="11"/>
      <c r="I19" s="11"/>
      <c r="J19" s="11"/>
      <c r="K19" s="11"/>
      <c r="L19" s="11"/>
      <c r="M19" s="11"/>
      <c r="N19" s="11"/>
    </row>
    <row r="20" spans="1:20" ht="42" customHeight="1">
      <c r="A20" s="13" t="s">
        <v>143</v>
      </c>
      <c r="B20" s="13"/>
      <c r="C20" s="232">
        <f>+IF(C19&gt;0.9,1,0.9)</f>
        <v>0.9</v>
      </c>
      <c r="D20" s="232">
        <f t="shared" ref="D20:N20" si="1">+IF(D19&gt;0.9,1,0.9)</f>
        <v>0.9</v>
      </c>
      <c r="E20" s="232">
        <f t="shared" si="1"/>
        <v>0.9</v>
      </c>
      <c r="F20" s="232">
        <f t="shared" si="1"/>
        <v>0.9</v>
      </c>
      <c r="G20" s="232">
        <f t="shared" si="1"/>
        <v>0.9</v>
      </c>
      <c r="H20" s="232">
        <f t="shared" si="1"/>
        <v>0.9</v>
      </c>
      <c r="I20" s="232">
        <f t="shared" si="1"/>
        <v>0.9</v>
      </c>
      <c r="J20" s="232">
        <f t="shared" si="1"/>
        <v>0.9</v>
      </c>
      <c r="K20" s="232">
        <f t="shared" si="1"/>
        <v>0.9</v>
      </c>
      <c r="L20" s="232">
        <f t="shared" si="1"/>
        <v>0.9</v>
      </c>
      <c r="M20" s="232">
        <f t="shared" si="1"/>
        <v>0.9</v>
      </c>
      <c r="N20" s="232">
        <f t="shared" si="1"/>
        <v>0.9</v>
      </c>
    </row>
    <row r="21" spans="1:20" s="19" customFormat="1" ht="122.25" customHeight="1">
      <c r="A21" s="15" t="s">
        <v>144</v>
      </c>
      <c r="B21" s="16"/>
      <c r="C21" s="17"/>
      <c r="D21" s="17"/>
      <c r="E21" s="17"/>
      <c r="F21" s="17"/>
      <c r="G21" s="17"/>
      <c r="H21" s="17"/>
      <c r="I21" s="17"/>
      <c r="J21" s="17"/>
      <c r="K21" s="17"/>
      <c r="L21" s="17"/>
      <c r="M21" s="17"/>
      <c r="N21" s="18"/>
    </row>
    <row r="22" spans="1:20" ht="7.5" customHeight="1"/>
    <row r="23" spans="1:20" ht="25.5" customHeight="1">
      <c r="A23" s="20" t="s">
        <v>145</v>
      </c>
      <c r="B23" s="21"/>
      <c r="C23" s="22"/>
      <c r="D23" s="22"/>
      <c r="E23" s="22"/>
      <c r="F23" s="22"/>
      <c r="G23" s="23" t="s">
        <v>146</v>
      </c>
      <c r="H23" s="22"/>
      <c r="I23" s="22"/>
      <c r="J23" s="22"/>
      <c r="K23" s="22"/>
      <c r="L23" s="22"/>
      <c r="M23" s="22"/>
      <c r="N23" s="24"/>
    </row>
    <row r="24" spans="1:20" ht="25.5" customHeight="1">
      <c r="A24" s="25" t="s">
        <v>129</v>
      </c>
      <c r="G24" s="26"/>
      <c r="N24" s="27"/>
    </row>
    <row r="25" spans="1:20" s="19" customFormat="1" ht="28.5" customHeight="1">
      <c r="A25" s="28" t="str">
        <f>+IF(C18&gt;0,C17,"")</f>
        <v>ene</v>
      </c>
      <c r="B25" s="9"/>
      <c r="C25" s="29"/>
      <c r="D25" s="29"/>
      <c r="E25" s="29"/>
      <c r="F25" s="29"/>
      <c r="G25" s="30"/>
      <c r="H25" s="29"/>
      <c r="I25" s="29"/>
      <c r="J25" s="29"/>
      <c r="K25" s="29"/>
      <c r="L25" s="29"/>
      <c r="M25" s="29"/>
      <c r="N25" s="31"/>
    </row>
    <row r="26" spans="1:20" s="19" customFormat="1" ht="28.5" customHeight="1">
      <c r="A26" s="32" t="str">
        <f>+IF(D18&gt;0,D17,"")</f>
        <v>feb</v>
      </c>
      <c r="B26" s="33"/>
      <c r="C26" s="34"/>
      <c r="D26" s="34"/>
      <c r="E26" s="34"/>
      <c r="F26" s="34"/>
      <c r="G26" s="35"/>
      <c r="H26" s="34"/>
      <c r="I26" s="34"/>
      <c r="J26" s="34"/>
      <c r="K26" s="34"/>
      <c r="L26" s="34"/>
      <c r="M26" s="34"/>
      <c r="N26" s="36"/>
    </row>
    <row r="27" spans="1:20" s="19" customFormat="1" ht="28.5" customHeight="1">
      <c r="A27" s="32" t="str">
        <f>+IF(E18&gt;0,E17,"")</f>
        <v>mar</v>
      </c>
      <c r="B27" s="33"/>
      <c r="C27" s="34"/>
      <c r="D27" s="34"/>
      <c r="E27" s="34"/>
      <c r="F27" s="34"/>
      <c r="G27" s="35"/>
      <c r="H27" s="34"/>
      <c r="I27" s="34"/>
      <c r="J27" s="34"/>
      <c r="K27" s="34"/>
      <c r="L27" s="34"/>
      <c r="M27" s="34"/>
      <c r="N27" s="36"/>
    </row>
    <row r="28" spans="1:20" s="19" customFormat="1" ht="28.5" customHeight="1">
      <c r="A28" s="32" t="str">
        <f>+IF(F18&gt;0,F17,"")</f>
        <v>abr</v>
      </c>
      <c r="B28" s="748"/>
      <c r="C28" s="749"/>
      <c r="D28" s="749"/>
      <c r="E28" s="749"/>
      <c r="F28" s="750"/>
      <c r="G28" s="739"/>
      <c r="H28" s="740"/>
      <c r="I28" s="740"/>
      <c r="J28" s="740"/>
      <c r="K28" s="740"/>
      <c r="L28" s="740"/>
      <c r="M28" s="740"/>
      <c r="N28" s="741"/>
    </row>
    <row r="29" spans="1:20" s="19" customFormat="1" ht="28.5" customHeight="1">
      <c r="A29" s="32" t="str">
        <f>+IF(G18&gt;0,G17,"")</f>
        <v>may</v>
      </c>
      <c r="B29" s="33"/>
      <c r="C29" s="34"/>
      <c r="D29" s="34"/>
      <c r="E29" s="34"/>
      <c r="F29" s="34"/>
      <c r="G29" s="35"/>
      <c r="H29" s="34"/>
      <c r="I29" s="34"/>
      <c r="J29" s="34"/>
      <c r="K29" s="34"/>
      <c r="L29" s="34"/>
      <c r="M29" s="34"/>
      <c r="N29" s="36"/>
    </row>
    <row r="30" spans="1:20" s="19" customFormat="1" ht="34.5" customHeight="1">
      <c r="A30" s="32" t="str">
        <f>+IF(H18&gt;0,H17,"")</f>
        <v>jun</v>
      </c>
      <c r="B30" s="854"/>
      <c r="C30" s="800"/>
      <c r="D30" s="800"/>
      <c r="E30" s="800"/>
      <c r="F30" s="801"/>
      <c r="G30" s="37"/>
      <c r="H30" s="33"/>
      <c r="I30" s="33"/>
      <c r="J30" s="33"/>
      <c r="K30" s="33"/>
      <c r="L30" s="33"/>
      <c r="M30" s="33"/>
      <c r="N30" s="38"/>
    </row>
    <row r="31" spans="1:20" s="19" customFormat="1" ht="33.75" customHeight="1">
      <c r="A31" s="32" t="str">
        <f>+IF(I18&gt;0,I17,"")</f>
        <v>jul</v>
      </c>
      <c r="B31" s="854"/>
      <c r="C31" s="800"/>
      <c r="D31" s="800"/>
      <c r="E31" s="800"/>
      <c r="F31" s="801"/>
      <c r="G31" s="37"/>
      <c r="H31" s="33"/>
      <c r="I31" s="33"/>
      <c r="J31" s="33"/>
      <c r="K31" s="33"/>
      <c r="L31" s="33"/>
      <c r="M31" s="33"/>
      <c r="N31" s="38"/>
    </row>
    <row r="32" spans="1:20" s="19" customFormat="1" ht="28.5" customHeight="1">
      <c r="A32" s="32" t="str">
        <f>+IF(J18&gt;0,J17,"")</f>
        <v>ago</v>
      </c>
      <c r="B32" s="33"/>
      <c r="C32" s="33"/>
      <c r="D32" s="33"/>
      <c r="E32" s="33"/>
      <c r="F32" s="33"/>
      <c r="G32" s="799"/>
      <c r="H32" s="800"/>
      <c r="I32" s="800"/>
      <c r="J32" s="800"/>
      <c r="K32" s="800"/>
      <c r="L32" s="800"/>
      <c r="M32" s="800"/>
      <c r="N32" s="801"/>
    </row>
    <row r="33" spans="1:14" s="19" customFormat="1" ht="28.5" customHeight="1">
      <c r="A33" s="32" t="str">
        <f>+IF(K18&gt;0,K17,"")</f>
        <v>sep</v>
      </c>
      <c r="B33" s="33"/>
      <c r="C33" s="34"/>
      <c r="D33" s="34"/>
      <c r="E33" s="34"/>
      <c r="F33" s="34"/>
      <c r="G33" s="35"/>
      <c r="H33" s="34"/>
      <c r="I33" s="34"/>
      <c r="J33" s="34"/>
      <c r="K33" s="34"/>
      <c r="L33" s="34"/>
      <c r="M33" s="34"/>
      <c r="N33" s="36"/>
    </row>
    <row r="34" spans="1:14" s="19" customFormat="1" ht="28.5" customHeight="1">
      <c r="A34" s="32" t="str">
        <f>+IF(L18&gt;0,L17,"")</f>
        <v>oct</v>
      </c>
      <c r="B34" s="33"/>
      <c r="C34" s="34"/>
      <c r="D34" s="34"/>
      <c r="E34" s="34"/>
      <c r="F34" s="34"/>
      <c r="G34" s="35"/>
      <c r="H34" s="34"/>
      <c r="I34" s="34"/>
      <c r="J34" s="34"/>
      <c r="K34" s="34"/>
      <c r="L34" s="34"/>
      <c r="M34" s="34"/>
      <c r="N34" s="36"/>
    </row>
    <row r="35" spans="1:14" s="19" customFormat="1" ht="28.5" customHeight="1">
      <c r="A35" s="32" t="str">
        <f>+IF(M18&gt;0,M17,"")</f>
        <v>nov</v>
      </c>
      <c r="B35" s="33"/>
      <c r="C35" s="34"/>
      <c r="D35" s="34"/>
      <c r="E35" s="34"/>
      <c r="F35" s="34"/>
      <c r="G35" s="35"/>
      <c r="H35" s="34"/>
      <c r="I35" s="34"/>
      <c r="J35" s="34"/>
      <c r="K35" s="34"/>
      <c r="L35" s="34"/>
      <c r="M35" s="34"/>
      <c r="N35" s="36"/>
    </row>
    <row r="36" spans="1:14" s="19" customFormat="1" ht="28.5" customHeight="1">
      <c r="A36" s="39" t="str">
        <f>+IF(N18&gt;0,N17,"")</f>
        <v>dic</v>
      </c>
      <c r="B36" s="40"/>
      <c r="C36" s="41"/>
      <c r="D36" s="41"/>
      <c r="E36" s="41"/>
      <c r="F36" s="41"/>
      <c r="G36" s="131"/>
      <c r="H36" s="41"/>
      <c r="I36" s="41"/>
      <c r="J36" s="41"/>
      <c r="K36" s="41"/>
      <c r="L36" s="41"/>
      <c r="M36" s="41"/>
      <c r="N36" s="132"/>
    </row>
    <row r="37" spans="1:14">
      <c r="B37" s="700" t="s">
        <v>356</v>
      </c>
      <c r="C37" s="700"/>
      <c r="D37" s="700"/>
      <c r="E37" s="700"/>
      <c r="F37" s="700"/>
      <c r="G37" s="700"/>
      <c r="H37" s="700"/>
      <c r="I37" s="700"/>
      <c r="J37" s="700"/>
      <c r="K37" s="700"/>
      <c r="L37" s="700"/>
      <c r="M37" s="700"/>
    </row>
    <row r="39" spans="1:14">
      <c r="B39" s="5" t="s">
        <v>433</v>
      </c>
      <c r="F39" s="233"/>
    </row>
  </sheetData>
  <sheetProtection formatCells="0" formatColumns="0" formatRows="0"/>
  <mergeCells count="26">
    <mergeCell ref="B37:M37"/>
    <mergeCell ref="B30:F30"/>
    <mergeCell ref="B31:F31"/>
    <mergeCell ref="G32:N32"/>
    <mergeCell ref="C14:N14"/>
    <mergeCell ref="C15:N15"/>
    <mergeCell ref="A16:B16"/>
    <mergeCell ref="C16:N16"/>
    <mergeCell ref="A19:B19"/>
    <mergeCell ref="B28:F28"/>
    <mergeCell ref="G28:N28"/>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s>
  <hyperlinks>
    <hyperlink ref="O5" location="'Matriz Sta Ana'!A1" display="Volver" xr:uid="{38A7BBA4-3A4B-4C96-9BEA-622CAAC976D8}"/>
  </hyperlinks>
  <pageMargins left="0.7" right="0.7" top="0.75" bottom="0.75" header="0.3" footer="0.3"/>
  <pageSetup scale="69" fitToHeight="0" orientation="portrait" r:id="rId1"/>
  <rowBreaks count="1" manualBreakCount="1">
    <brk id="20" max="14" man="1"/>
  </rowBreaks>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479BB1-2644-4EEF-BFF6-C16882F670AE}">
  <sheetPr>
    <tabColor theme="4" tint="0.39997558519241921"/>
  </sheetPr>
  <dimension ref="A1:O57"/>
  <sheetViews>
    <sheetView view="pageBreakPreview" topLeftCell="A14" zoomScale="80" zoomScaleNormal="100" zoomScaleSheetLayoutView="80" workbookViewId="0">
      <selection activeCell="P17" sqref="P17"/>
    </sheetView>
  </sheetViews>
  <sheetFormatPr baseColWidth="10" defaultColWidth="11.42578125" defaultRowHeight="16.5"/>
  <cols>
    <col min="1" max="1" width="7.42578125" style="5" customWidth="1"/>
    <col min="2" max="2" width="33.5703125" style="5" customWidth="1"/>
    <col min="3" max="12" width="16.5703125" style="4" customWidth="1"/>
    <col min="13" max="13" width="15.42578125" style="4" bestFit="1" customWidth="1"/>
    <col min="14" max="14" width="17.42578125" style="4" bestFit="1"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c r="A6" s="5" t="s">
        <v>121</v>
      </c>
      <c r="C6" s="734" t="s">
        <v>237</v>
      </c>
      <c r="D6" s="734"/>
      <c r="E6" s="734"/>
      <c r="F6" s="734"/>
      <c r="G6" s="734"/>
      <c r="H6" s="734"/>
      <c r="I6" s="734"/>
      <c r="J6" s="734"/>
      <c r="K6" s="734"/>
      <c r="L6" s="734"/>
      <c r="M6" s="734"/>
      <c r="N6" s="734"/>
    </row>
    <row r="7" spans="1:15">
      <c r="A7" s="5" t="s">
        <v>3</v>
      </c>
      <c r="C7" s="700" t="s">
        <v>236</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c r="A9" s="5" t="s">
        <v>124</v>
      </c>
      <c r="C9" s="735">
        <v>0.95</v>
      </c>
      <c r="D9" s="736"/>
      <c r="E9" s="736"/>
      <c r="F9" s="736"/>
      <c r="G9" s="736"/>
      <c r="H9" s="736"/>
      <c r="I9" s="736"/>
      <c r="J9" s="736"/>
      <c r="K9" s="736"/>
      <c r="L9" s="736"/>
      <c r="M9" s="736"/>
      <c r="N9" s="736"/>
    </row>
    <row r="10" spans="1:15">
      <c r="A10" s="5" t="s">
        <v>5</v>
      </c>
      <c r="C10" s="64" t="s">
        <v>15</v>
      </c>
      <c r="D10" s="64"/>
      <c r="E10" s="64"/>
      <c r="F10" s="64"/>
      <c r="G10" s="64"/>
      <c r="H10" s="64"/>
      <c r="I10" s="64"/>
      <c r="J10" s="64"/>
      <c r="K10" s="64"/>
      <c r="L10" s="64"/>
      <c r="M10" s="64"/>
      <c r="N10" s="64"/>
    </row>
    <row r="11" spans="1:15">
      <c r="A11" s="5" t="s">
        <v>6</v>
      </c>
      <c r="C11" s="64" t="s">
        <v>227</v>
      </c>
      <c r="D11" s="64"/>
      <c r="E11" s="64"/>
      <c r="F11" s="64"/>
      <c r="G11" s="64"/>
      <c r="H11" s="64"/>
      <c r="I11" s="64"/>
      <c r="J11" s="64"/>
      <c r="K11" s="64"/>
      <c r="L11" s="64"/>
      <c r="M11" s="64"/>
      <c r="N11" s="64"/>
    </row>
    <row r="12" spans="1:15">
      <c r="A12" s="5" t="s">
        <v>7</v>
      </c>
      <c r="C12" s="700"/>
      <c r="D12" s="700"/>
      <c r="E12" s="700"/>
      <c r="F12" s="700"/>
      <c r="G12" s="700"/>
      <c r="H12" s="700"/>
      <c r="I12" s="700"/>
      <c r="J12" s="700"/>
      <c r="K12" s="700"/>
      <c r="L12" s="700"/>
      <c r="M12" s="700"/>
      <c r="N12" s="700"/>
    </row>
    <row r="13" spans="1:15">
      <c r="A13" s="737" t="s">
        <v>125</v>
      </c>
      <c r="B13" s="737"/>
      <c r="C13" s="700" t="s">
        <v>227</v>
      </c>
      <c r="D13" s="700"/>
      <c r="E13" s="700"/>
      <c r="F13" s="700"/>
      <c r="G13" s="700"/>
      <c r="H13" s="700"/>
      <c r="I13" s="700"/>
      <c r="J13" s="700"/>
      <c r="K13" s="700"/>
      <c r="L13" s="700"/>
      <c r="M13" s="700"/>
      <c r="N13" s="700"/>
    </row>
    <row r="14" spans="1:15">
      <c r="A14" s="5" t="s">
        <v>127</v>
      </c>
      <c r="C14" s="700"/>
      <c r="D14" s="700"/>
      <c r="E14" s="700"/>
      <c r="F14" s="700"/>
      <c r="G14" s="700"/>
      <c r="H14" s="700"/>
      <c r="I14" s="700"/>
      <c r="J14" s="700"/>
      <c r="K14" s="700"/>
      <c r="L14" s="700"/>
      <c r="M14" s="700"/>
      <c r="N14" s="700"/>
    </row>
    <row r="15" spans="1:15">
      <c r="A15" s="5" t="s">
        <v>10</v>
      </c>
      <c r="C15" s="701"/>
      <c r="D15" s="701"/>
      <c r="E15" s="701"/>
      <c r="F15" s="701"/>
      <c r="G15" s="701"/>
      <c r="H15" s="701"/>
      <c r="I15" s="701"/>
      <c r="J15" s="701"/>
      <c r="K15" s="701"/>
      <c r="L15" s="701"/>
      <c r="M15" s="701"/>
      <c r="N15" s="701"/>
    </row>
    <row r="16" spans="1:15">
      <c r="A16" s="737" t="s">
        <v>128</v>
      </c>
      <c r="B16" s="737"/>
      <c r="C16" s="833"/>
      <c r="D16" s="833"/>
      <c r="E16" s="833"/>
      <c r="F16" s="833"/>
      <c r="G16" s="833"/>
      <c r="H16" s="833"/>
      <c r="I16" s="833"/>
      <c r="J16" s="833"/>
      <c r="K16" s="833"/>
      <c r="L16" s="833"/>
      <c r="M16" s="833"/>
      <c r="N16" s="833"/>
    </row>
    <row r="17" spans="1:14" ht="24.75" customHeight="1">
      <c r="A17" s="707" t="s">
        <v>443</v>
      </c>
      <c r="B17" s="707"/>
      <c r="C17" s="708">
        <v>44784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33" t="s">
        <v>129</v>
      </c>
      <c r="C19" s="124" t="s">
        <v>326</v>
      </c>
      <c r="D19" s="124" t="s">
        <v>327</v>
      </c>
      <c r="E19" s="124" t="s">
        <v>328</v>
      </c>
      <c r="F19" s="124" t="s">
        <v>329</v>
      </c>
      <c r="G19" s="124" t="s">
        <v>330</v>
      </c>
      <c r="H19" s="124" t="s">
        <v>331</v>
      </c>
      <c r="I19" s="124" t="s">
        <v>332</v>
      </c>
      <c r="J19" s="124" t="s">
        <v>333</v>
      </c>
      <c r="K19" s="124" t="s">
        <v>321</v>
      </c>
      <c r="L19" s="124" t="s">
        <v>322</v>
      </c>
      <c r="M19" s="124" t="s">
        <v>323</v>
      </c>
      <c r="N19" s="124" t="s">
        <v>324</v>
      </c>
    </row>
    <row r="20" spans="1:14">
      <c r="A20" s="4"/>
      <c r="B20" s="139" t="s">
        <v>340</v>
      </c>
      <c r="C20" s="140">
        <f>+C43</f>
        <v>125937748.41</v>
      </c>
      <c r="D20" s="140">
        <f>+C44</f>
        <v>119629615.31</v>
      </c>
      <c r="E20" s="141">
        <f>+C45</f>
        <v>120858676.86</v>
      </c>
      <c r="F20" s="141">
        <f>+C46</f>
        <v>120395892.66</v>
      </c>
      <c r="G20" s="141">
        <f>+C47</f>
        <v>135286745.93000001</v>
      </c>
      <c r="H20" s="141">
        <f>+C48</f>
        <v>128715830.31999999</v>
      </c>
      <c r="I20" s="141">
        <f>+C49</f>
        <v>128007257.61</v>
      </c>
      <c r="J20" s="141">
        <f>+C50</f>
        <v>0</v>
      </c>
      <c r="K20" s="141">
        <f>+C51</f>
        <v>0</v>
      </c>
      <c r="L20" s="141">
        <f>+C52</f>
        <v>0</v>
      </c>
      <c r="M20" s="142">
        <f>+C53</f>
        <v>0</v>
      </c>
      <c r="N20" s="142">
        <f>+C54</f>
        <v>0</v>
      </c>
    </row>
    <row r="21" spans="1:14">
      <c r="A21" s="4"/>
      <c r="B21" s="143" t="s">
        <v>341</v>
      </c>
      <c r="C21" s="142">
        <f>+B43</f>
        <v>121573316.72</v>
      </c>
      <c r="D21" s="142">
        <f>+B44</f>
        <v>115529859.67</v>
      </c>
      <c r="E21" s="142">
        <f>+B45</f>
        <v>118513498.58</v>
      </c>
      <c r="F21" s="142">
        <f>+B46</f>
        <v>118134512.44</v>
      </c>
      <c r="G21" s="142">
        <f>+B47</f>
        <v>133204826</v>
      </c>
      <c r="H21" s="142">
        <f>+B49</f>
        <v>125272954.25</v>
      </c>
      <c r="I21" s="142">
        <f>+B49</f>
        <v>125272954.25</v>
      </c>
      <c r="J21" s="142">
        <f>+B50</f>
        <v>0</v>
      </c>
      <c r="K21" s="142">
        <f>+B51</f>
        <v>0</v>
      </c>
      <c r="L21" s="142">
        <f>+B52</f>
        <v>0</v>
      </c>
      <c r="M21" s="238">
        <f>+B53</f>
        <v>0</v>
      </c>
      <c r="N21" s="238">
        <f>+B54</f>
        <v>0</v>
      </c>
    </row>
    <row r="22" spans="1:14" s="126" customFormat="1">
      <c r="B22" s="145" t="s">
        <v>336</v>
      </c>
      <c r="C22" s="128">
        <v>0.95</v>
      </c>
      <c r="D22" s="128">
        <v>0.95</v>
      </c>
      <c r="E22" s="128">
        <v>0.95</v>
      </c>
      <c r="F22" s="128">
        <v>0.95</v>
      </c>
      <c r="G22" s="128">
        <v>0.95</v>
      </c>
      <c r="H22" s="128">
        <v>0.95</v>
      </c>
      <c r="I22" s="128">
        <v>0.95</v>
      </c>
      <c r="J22" s="128">
        <v>0.95</v>
      </c>
      <c r="K22" s="128">
        <v>0.95</v>
      </c>
      <c r="L22" s="128">
        <v>0.95</v>
      </c>
      <c r="M22" s="128">
        <v>0.95</v>
      </c>
      <c r="N22" s="128">
        <v>0.95</v>
      </c>
    </row>
    <row r="23" spans="1:14" s="130" customFormat="1" ht="35.25" customHeight="1">
      <c r="A23" s="834" t="s">
        <v>142</v>
      </c>
      <c r="B23" s="835"/>
      <c r="C23" s="146">
        <f>+G43</f>
        <v>0.96534453136488307</v>
      </c>
      <c r="D23" s="129">
        <f>+G44</f>
        <v>0.96572959271518033</v>
      </c>
      <c r="E23" s="129">
        <f>+G45</f>
        <v>0.98059569787681355</v>
      </c>
      <c r="F23" s="129">
        <f>+G46</f>
        <v>0.98121713149811374</v>
      </c>
      <c r="G23" s="129">
        <f>+G47</f>
        <v>0.98461105767835355</v>
      </c>
      <c r="H23" s="129">
        <f>+G48</f>
        <v>0.97325211622035401</v>
      </c>
      <c r="I23" s="129">
        <f>+G49</f>
        <v>0.97863946614393849</v>
      </c>
      <c r="J23" s="129" t="e">
        <f>+G50</f>
        <v>#DIV/0!</v>
      </c>
      <c r="K23" s="129" t="e">
        <f>+G51</f>
        <v>#DIV/0!</v>
      </c>
      <c r="L23" s="129" t="e">
        <f>+G52</f>
        <v>#DIV/0!</v>
      </c>
      <c r="M23" s="129" t="e">
        <f>+G53</f>
        <v>#DIV/0!</v>
      </c>
      <c r="N23" s="129" t="e">
        <f>+G54</f>
        <v>#DIV/0!</v>
      </c>
    </row>
    <row r="24" spans="1:14" ht="42" customHeight="1">
      <c r="A24" s="13" t="s">
        <v>143</v>
      </c>
      <c r="B24" s="13"/>
      <c r="C24" s="147">
        <f>+IF(C23&gt;0.9,1,C23/0.9)</f>
        <v>1</v>
      </c>
      <c r="D24" s="147">
        <f t="shared" ref="D24:N24" si="0">+IF(D23&gt;0.9,1,D23/0.9)</f>
        <v>1</v>
      </c>
      <c r="E24" s="147">
        <f t="shared" si="0"/>
        <v>1</v>
      </c>
      <c r="F24" s="147">
        <f t="shared" si="0"/>
        <v>1</v>
      </c>
      <c r="G24" s="147">
        <f t="shared" si="0"/>
        <v>1</v>
      </c>
      <c r="H24" s="147">
        <f t="shared" si="0"/>
        <v>1</v>
      </c>
      <c r="I24" s="147">
        <f t="shared" si="0"/>
        <v>1</v>
      </c>
      <c r="J24" s="147" t="e">
        <f t="shared" si="0"/>
        <v>#DIV/0!</v>
      </c>
      <c r="K24" s="147" t="e">
        <f t="shared" si="0"/>
        <v>#DIV/0!</v>
      </c>
      <c r="L24" s="147" t="e">
        <f t="shared" si="0"/>
        <v>#DIV/0!</v>
      </c>
      <c r="M24" s="147" t="e">
        <f t="shared" si="0"/>
        <v>#DIV/0!</v>
      </c>
      <c r="N24" s="147" t="e">
        <f t="shared" si="0"/>
        <v>#DIV/0!</v>
      </c>
    </row>
    <row r="25" spans="1:14" s="19" customFormat="1" ht="207" customHeight="1">
      <c r="A25" s="15" t="s">
        <v>144</v>
      </c>
      <c r="B25" s="16"/>
      <c r="C25" s="17"/>
      <c r="D25" s="17"/>
      <c r="E25" s="17"/>
      <c r="F25" s="17"/>
      <c r="G25" s="17"/>
      <c r="H25" s="17"/>
      <c r="I25" s="17"/>
      <c r="J25" s="17"/>
      <c r="K25" s="17"/>
      <c r="L25" s="17"/>
      <c r="M25" s="17"/>
      <c r="N25" s="18"/>
    </row>
    <row r="26" spans="1:14" ht="7.5" customHeight="1"/>
    <row r="27" spans="1:14" ht="25.5" customHeight="1">
      <c r="A27" s="20" t="s">
        <v>145</v>
      </c>
      <c r="B27" s="21"/>
      <c r="C27" s="22"/>
      <c r="D27" s="22"/>
      <c r="E27" s="22"/>
      <c r="F27" s="22"/>
      <c r="G27" s="23" t="s">
        <v>146</v>
      </c>
      <c r="H27" s="22"/>
      <c r="I27" s="22"/>
      <c r="J27" s="22"/>
      <c r="K27" s="22"/>
      <c r="L27" s="22"/>
      <c r="M27" s="22"/>
      <c r="N27" s="24"/>
    </row>
    <row r="28" spans="1:14" ht="25.5" customHeight="1">
      <c r="A28" s="25" t="s">
        <v>129</v>
      </c>
      <c r="G28" s="26"/>
      <c r="N28" s="27"/>
    </row>
    <row r="29" spans="1:14" s="19" customFormat="1">
      <c r="A29" s="28" t="s">
        <v>326</v>
      </c>
      <c r="B29" s="855" t="s">
        <v>644</v>
      </c>
      <c r="C29" s="856"/>
      <c r="D29" s="856"/>
      <c r="E29" s="856"/>
      <c r="F29" s="857"/>
      <c r="G29" s="858" t="s">
        <v>645</v>
      </c>
      <c r="H29" s="859"/>
      <c r="I29" s="859"/>
      <c r="J29" s="859"/>
      <c r="K29" s="859"/>
      <c r="L29" s="859"/>
      <c r="M29" s="859"/>
      <c r="N29" s="860"/>
    </row>
    <row r="30" spans="1:14" s="19" customFormat="1" ht="16.5" customHeight="1">
      <c r="A30" s="32" t="s">
        <v>327</v>
      </c>
      <c r="B30" s="855" t="s">
        <v>644</v>
      </c>
      <c r="C30" s="856"/>
      <c r="D30" s="856"/>
      <c r="E30" s="856"/>
      <c r="F30" s="857"/>
      <c r="G30" s="858" t="s">
        <v>645</v>
      </c>
      <c r="H30" s="859"/>
      <c r="I30" s="859"/>
      <c r="J30" s="859"/>
      <c r="K30" s="859"/>
      <c r="L30" s="859"/>
      <c r="M30" s="859"/>
      <c r="N30" s="860"/>
    </row>
    <row r="31" spans="1:14" s="19" customFormat="1" ht="16.5" customHeight="1">
      <c r="A31" s="32" t="s">
        <v>328</v>
      </c>
      <c r="B31" s="855" t="s">
        <v>644</v>
      </c>
      <c r="C31" s="856"/>
      <c r="D31" s="856"/>
      <c r="E31" s="856"/>
      <c r="F31" s="857"/>
      <c r="G31" s="858" t="s">
        <v>645</v>
      </c>
      <c r="H31" s="859"/>
      <c r="I31" s="859"/>
      <c r="J31" s="859"/>
      <c r="K31" s="859"/>
      <c r="L31" s="859"/>
      <c r="M31" s="859"/>
      <c r="N31" s="860"/>
    </row>
    <row r="32" spans="1:14" s="19" customFormat="1" ht="32.25" customHeight="1">
      <c r="A32" s="32" t="s">
        <v>329</v>
      </c>
      <c r="B32" s="855" t="s">
        <v>644</v>
      </c>
      <c r="C32" s="856"/>
      <c r="D32" s="856"/>
      <c r="E32" s="856"/>
      <c r="F32" s="857"/>
      <c r="G32" s="858" t="s">
        <v>645</v>
      </c>
      <c r="H32" s="859"/>
      <c r="I32" s="859"/>
      <c r="J32" s="859"/>
      <c r="K32" s="859"/>
      <c r="L32" s="859"/>
      <c r="M32" s="859"/>
      <c r="N32" s="860"/>
    </row>
    <row r="33" spans="1:14" s="19" customFormat="1" ht="16.5" customHeight="1">
      <c r="A33" s="32" t="s">
        <v>330</v>
      </c>
      <c r="B33" s="855" t="s">
        <v>644</v>
      </c>
      <c r="C33" s="856"/>
      <c r="D33" s="856"/>
      <c r="E33" s="856"/>
      <c r="F33" s="857"/>
      <c r="G33" s="858" t="s">
        <v>645</v>
      </c>
      <c r="H33" s="859"/>
      <c r="I33" s="859"/>
      <c r="J33" s="859"/>
      <c r="K33" s="859"/>
      <c r="L33" s="859"/>
      <c r="M33" s="859"/>
      <c r="N33" s="860"/>
    </row>
    <row r="34" spans="1:14" s="19" customFormat="1" ht="16.5" customHeight="1">
      <c r="A34" s="32" t="s">
        <v>331</v>
      </c>
      <c r="B34" s="855" t="s">
        <v>644</v>
      </c>
      <c r="C34" s="856"/>
      <c r="D34" s="856"/>
      <c r="E34" s="856"/>
      <c r="F34" s="857"/>
      <c r="G34" s="858" t="s">
        <v>645</v>
      </c>
      <c r="H34" s="859"/>
      <c r="I34" s="859"/>
      <c r="J34" s="859"/>
      <c r="K34" s="859"/>
      <c r="L34" s="859"/>
      <c r="M34" s="859"/>
      <c r="N34" s="860"/>
    </row>
    <row r="35" spans="1:14" s="19" customFormat="1" ht="16.5" customHeight="1">
      <c r="A35" s="32" t="s">
        <v>332</v>
      </c>
      <c r="B35" s="855" t="s">
        <v>644</v>
      </c>
      <c r="C35" s="856"/>
      <c r="D35" s="856"/>
      <c r="E35" s="856"/>
      <c r="F35" s="857"/>
      <c r="G35" s="858" t="s">
        <v>645</v>
      </c>
      <c r="H35" s="859"/>
      <c r="I35" s="859"/>
      <c r="J35" s="859"/>
      <c r="K35" s="859"/>
      <c r="L35" s="859"/>
      <c r="M35" s="859"/>
      <c r="N35" s="860"/>
    </row>
    <row r="36" spans="1:14" s="19" customFormat="1" ht="16.5" customHeight="1">
      <c r="A36" s="32" t="s">
        <v>333</v>
      </c>
      <c r="B36" s="855"/>
      <c r="C36" s="856"/>
      <c r="D36" s="856"/>
      <c r="E36" s="856"/>
      <c r="F36" s="857"/>
      <c r="G36" s="858"/>
      <c r="H36" s="859"/>
      <c r="I36" s="859"/>
      <c r="J36" s="859"/>
      <c r="K36" s="859"/>
      <c r="L36" s="859"/>
      <c r="M36" s="859"/>
      <c r="N36" s="860"/>
    </row>
    <row r="37" spans="1:14" s="19" customFormat="1" ht="16.5" customHeight="1">
      <c r="A37" s="32" t="s">
        <v>321</v>
      </c>
      <c r="B37" s="855"/>
      <c r="C37" s="856"/>
      <c r="D37" s="856"/>
      <c r="E37" s="856"/>
      <c r="F37" s="857"/>
      <c r="G37" s="858"/>
      <c r="H37" s="859"/>
      <c r="I37" s="859"/>
      <c r="J37" s="859"/>
      <c r="K37" s="859"/>
      <c r="L37" s="859"/>
      <c r="M37" s="859"/>
      <c r="N37" s="860"/>
    </row>
    <row r="38" spans="1:14" s="19" customFormat="1" ht="28.5" customHeight="1">
      <c r="A38" s="32" t="s">
        <v>322</v>
      </c>
      <c r="B38" s="855"/>
      <c r="C38" s="856"/>
      <c r="D38" s="856"/>
      <c r="E38" s="856"/>
      <c r="F38" s="857"/>
      <c r="G38" s="858"/>
      <c r="H38" s="859"/>
      <c r="I38" s="859"/>
      <c r="J38" s="859"/>
      <c r="K38" s="859"/>
      <c r="L38" s="859"/>
      <c r="M38" s="859"/>
      <c r="N38" s="860"/>
    </row>
    <row r="39" spans="1:14" s="19" customFormat="1" ht="28.5" customHeight="1">
      <c r="A39" s="32" t="s">
        <v>323</v>
      </c>
      <c r="B39" s="855"/>
      <c r="C39" s="856"/>
      <c r="D39" s="856"/>
      <c r="E39" s="856"/>
      <c r="F39" s="857"/>
      <c r="G39" s="858"/>
      <c r="H39" s="859"/>
      <c r="I39" s="859"/>
      <c r="J39" s="859"/>
      <c r="K39" s="859"/>
      <c r="L39" s="859"/>
      <c r="M39" s="859"/>
      <c r="N39" s="860"/>
    </row>
    <row r="40" spans="1:14" s="19" customFormat="1" ht="35.25" customHeight="1">
      <c r="A40" s="39" t="s">
        <v>324</v>
      </c>
      <c r="B40" s="855"/>
      <c r="C40" s="856"/>
      <c r="D40" s="856"/>
      <c r="E40" s="856"/>
      <c r="F40" s="857"/>
      <c r="G40" s="858"/>
      <c r="H40" s="859"/>
      <c r="I40" s="859"/>
      <c r="J40" s="859"/>
      <c r="K40" s="859"/>
      <c r="L40" s="859"/>
      <c r="M40" s="859"/>
      <c r="N40" s="860"/>
    </row>
    <row r="42" spans="1:14">
      <c r="A42" s="133" t="s">
        <v>342</v>
      </c>
      <c r="B42" s="133" t="s">
        <v>343</v>
      </c>
      <c r="C42" s="837" t="s">
        <v>340</v>
      </c>
      <c r="D42" s="837"/>
      <c r="E42" s="837"/>
      <c r="F42" s="837"/>
      <c r="G42" s="837" t="s">
        <v>152</v>
      </c>
      <c r="H42" s="837"/>
    </row>
    <row r="43" spans="1:14">
      <c r="A43" s="133">
        <v>1</v>
      </c>
      <c r="B43" s="148">
        <v>121573316.72</v>
      </c>
      <c r="C43" s="861">
        <v>125937748.41</v>
      </c>
      <c r="D43" s="861"/>
      <c r="E43" s="861"/>
      <c r="F43" s="861"/>
      <c r="G43" s="862">
        <f>+B43/C43</f>
        <v>0.96534453136488307</v>
      </c>
      <c r="H43" s="862"/>
    </row>
    <row r="44" spans="1:14">
      <c r="A44" s="133">
        <v>2</v>
      </c>
      <c r="B44" s="148">
        <v>115529859.67</v>
      </c>
      <c r="C44" s="861">
        <v>119629615.31</v>
      </c>
      <c r="D44" s="861"/>
      <c r="E44" s="861"/>
      <c r="F44" s="861"/>
      <c r="G44" s="862">
        <f t="shared" ref="G44:G51" si="1">+B44/C44</f>
        <v>0.96572959271518033</v>
      </c>
      <c r="H44" s="862"/>
    </row>
    <row r="45" spans="1:14">
      <c r="A45" s="133">
        <v>3</v>
      </c>
      <c r="B45" s="148">
        <v>118513498.58</v>
      </c>
      <c r="C45" s="861">
        <v>120858676.86</v>
      </c>
      <c r="D45" s="861"/>
      <c r="E45" s="861"/>
      <c r="F45" s="861"/>
      <c r="G45" s="862">
        <f t="shared" si="1"/>
        <v>0.98059569787681355</v>
      </c>
      <c r="H45" s="862"/>
    </row>
    <row r="46" spans="1:14">
      <c r="A46" s="133">
        <v>4</v>
      </c>
      <c r="B46" s="148">
        <v>118134512.44</v>
      </c>
      <c r="C46" s="861">
        <v>120395892.66</v>
      </c>
      <c r="D46" s="861"/>
      <c r="E46" s="861"/>
      <c r="F46" s="861"/>
      <c r="G46" s="862">
        <f t="shared" si="1"/>
        <v>0.98121713149811374</v>
      </c>
      <c r="H46" s="862"/>
    </row>
    <row r="47" spans="1:14">
      <c r="A47" s="133">
        <v>5</v>
      </c>
      <c r="B47" s="148">
        <v>133204826</v>
      </c>
      <c r="C47" s="861">
        <v>135286745.93000001</v>
      </c>
      <c r="D47" s="861"/>
      <c r="E47" s="861"/>
      <c r="F47" s="861"/>
      <c r="G47" s="862">
        <f t="shared" si="1"/>
        <v>0.98461105767835355</v>
      </c>
      <c r="H47" s="862"/>
    </row>
    <row r="48" spans="1:14">
      <c r="A48" s="133">
        <v>6</v>
      </c>
      <c r="B48" s="148">
        <v>124494317.5</v>
      </c>
      <c r="C48" s="861">
        <v>128715830.31999999</v>
      </c>
      <c r="D48" s="861"/>
      <c r="E48" s="861"/>
      <c r="F48" s="861"/>
      <c r="G48" s="862">
        <f>+B49/C48</f>
        <v>0.97325211622035401</v>
      </c>
      <c r="H48" s="862"/>
    </row>
    <row r="49" spans="1:8">
      <c r="A49" s="133">
        <v>7</v>
      </c>
      <c r="B49" s="148">
        <v>125272954.25</v>
      </c>
      <c r="C49" s="863">
        <v>128007257.61</v>
      </c>
      <c r="D49" s="864"/>
      <c r="E49" s="864"/>
      <c r="F49" s="865"/>
      <c r="G49" s="862">
        <f t="shared" ref="G49" si="2">+B49/C49</f>
        <v>0.97863946614393849</v>
      </c>
      <c r="H49" s="862"/>
    </row>
    <row r="50" spans="1:8">
      <c r="A50" s="133">
        <v>8</v>
      </c>
      <c r="B50" s="148"/>
      <c r="C50" s="861"/>
      <c r="D50" s="861"/>
      <c r="E50" s="861"/>
      <c r="F50" s="861"/>
      <c r="G50" s="862" t="e">
        <f>+B51/C50</f>
        <v>#DIV/0!</v>
      </c>
      <c r="H50" s="862"/>
    </row>
    <row r="51" spans="1:8">
      <c r="A51" s="133">
        <v>9</v>
      </c>
      <c r="B51" s="148"/>
      <c r="C51" s="861"/>
      <c r="D51" s="861"/>
      <c r="E51" s="861"/>
      <c r="F51" s="861"/>
      <c r="G51" s="862" t="e">
        <f t="shared" si="1"/>
        <v>#DIV/0!</v>
      </c>
      <c r="H51" s="862"/>
    </row>
    <row r="52" spans="1:8">
      <c r="A52" s="133">
        <v>10</v>
      </c>
      <c r="B52" s="149"/>
      <c r="C52" s="866"/>
      <c r="D52" s="867"/>
      <c r="E52" s="867"/>
      <c r="F52" s="868"/>
      <c r="G52" s="862" t="e">
        <f>+B52/C52</f>
        <v>#DIV/0!</v>
      </c>
      <c r="H52" s="862"/>
    </row>
    <row r="53" spans="1:8">
      <c r="A53" s="133">
        <v>11</v>
      </c>
      <c r="B53" s="237"/>
      <c r="C53" s="866"/>
      <c r="D53" s="867"/>
      <c r="E53" s="867"/>
      <c r="F53" s="868"/>
      <c r="G53" s="862" t="e">
        <f>+B53/C53</f>
        <v>#DIV/0!</v>
      </c>
      <c r="H53" s="862"/>
    </row>
    <row r="54" spans="1:8">
      <c r="A54" s="133">
        <v>12</v>
      </c>
      <c r="B54" s="237"/>
      <c r="C54" s="866"/>
      <c r="D54" s="867"/>
      <c r="E54" s="867"/>
      <c r="F54" s="868"/>
      <c r="G54" s="862" t="e">
        <f>+B54/C54</f>
        <v>#DIV/0!</v>
      </c>
      <c r="H54" s="862"/>
    </row>
    <row r="57" spans="1:8">
      <c r="E57" s="150"/>
    </row>
  </sheetData>
  <mergeCells count="72">
    <mergeCell ref="C52:F52"/>
    <mergeCell ref="G52:H52"/>
    <mergeCell ref="C53:F53"/>
    <mergeCell ref="G53:H53"/>
    <mergeCell ref="C54:F54"/>
    <mergeCell ref="G54:H54"/>
    <mergeCell ref="C49:F49"/>
    <mergeCell ref="G49:H49"/>
    <mergeCell ref="C50:F50"/>
    <mergeCell ref="G50:H50"/>
    <mergeCell ref="C51:F51"/>
    <mergeCell ref="G51:H51"/>
    <mergeCell ref="C46:F46"/>
    <mergeCell ref="G46:H46"/>
    <mergeCell ref="C47:F47"/>
    <mergeCell ref="G47:H47"/>
    <mergeCell ref="C48:F48"/>
    <mergeCell ref="G48:H48"/>
    <mergeCell ref="C43:F43"/>
    <mergeCell ref="G43:H43"/>
    <mergeCell ref="C44:F44"/>
    <mergeCell ref="G44:H44"/>
    <mergeCell ref="C45:F45"/>
    <mergeCell ref="G45:H45"/>
    <mergeCell ref="C42:F42"/>
    <mergeCell ref="G42:H42"/>
    <mergeCell ref="B39:F39"/>
    <mergeCell ref="G39:N39"/>
    <mergeCell ref="B40:F40"/>
    <mergeCell ref="G40:N40"/>
    <mergeCell ref="B36:F36"/>
    <mergeCell ref="G36:N36"/>
    <mergeCell ref="B37:F37"/>
    <mergeCell ref="G37:N37"/>
    <mergeCell ref="B38:F38"/>
    <mergeCell ref="G38:N38"/>
    <mergeCell ref="B33:F33"/>
    <mergeCell ref="G33:N33"/>
    <mergeCell ref="B34:F34"/>
    <mergeCell ref="G34:N34"/>
    <mergeCell ref="B35:F35"/>
    <mergeCell ref="G35:N35"/>
    <mergeCell ref="B30:F30"/>
    <mergeCell ref="G30:N30"/>
    <mergeCell ref="B31:F31"/>
    <mergeCell ref="G31:N31"/>
    <mergeCell ref="B32:F32"/>
    <mergeCell ref="G32:N32"/>
    <mergeCell ref="B29:F29"/>
    <mergeCell ref="G29:N29"/>
    <mergeCell ref="C6:N6"/>
    <mergeCell ref="C7:N7"/>
    <mergeCell ref="C9:N9"/>
    <mergeCell ref="C12:N12"/>
    <mergeCell ref="A13:B13"/>
    <mergeCell ref="C13:N13"/>
    <mergeCell ref="C14:N14"/>
    <mergeCell ref="C15:N15"/>
    <mergeCell ref="A16:B16"/>
    <mergeCell ref="C16:N16"/>
    <mergeCell ref="A23:B23"/>
    <mergeCell ref="A17:B17"/>
    <mergeCell ref="C17:N17"/>
    <mergeCell ref="A1:J4"/>
    <mergeCell ref="K1:L1"/>
    <mergeCell ref="M1:N1"/>
    <mergeCell ref="K2:L2"/>
    <mergeCell ref="M2:N2"/>
    <mergeCell ref="K3:L3"/>
    <mergeCell ref="M3:N3"/>
    <mergeCell ref="K4:L4"/>
    <mergeCell ref="M4:N4"/>
  </mergeCells>
  <hyperlinks>
    <hyperlink ref="O5" location="'Matriz Sta Ana'!A1" display="Volver" xr:uid="{BDB8E76E-9862-4DE7-A6C3-F56FC32AFBD2}"/>
  </hyperlinks>
  <pageMargins left="0.7" right="0.7" top="0.75" bottom="0.75" header="0.3" footer="0.3"/>
  <pageSetup paperSize="9" scale="36" orientation="portrait" horizontalDpi="4294967292" r:id="rId1"/>
  <colBreaks count="1" manualBreakCount="1">
    <brk id="14" max="54" man="1"/>
  </colBreaks>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8F39C-5A4A-42AB-838D-44EFF0702124}">
  <sheetPr>
    <tabColor theme="4" tint="0.39997558519241921"/>
  </sheetPr>
  <dimension ref="A1:Z58"/>
  <sheetViews>
    <sheetView topLeftCell="A22" zoomScaleNormal="100" zoomScaleSheetLayoutView="100" workbookViewId="0">
      <selection activeCell="C17" sqref="C17:N17"/>
    </sheetView>
  </sheetViews>
  <sheetFormatPr baseColWidth="10" defaultColWidth="11.42578125" defaultRowHeight="16.5"/>
  <cols>
    <col min="1" max="1" width="4.42578125" style="5" customWidth="1"/>
    <col min="2" max="2" width="33.5703125" style="5" customWidth="1"/>
    <col min="3" max="6" width="16.5703125" style="4" bestFit="1" customWidth="1"/>
    <col min="7" max="7" width="19.5703125" style="4" bestFit="1" customWidth="1"/>
    <col min="8" max="12" width="16.5703125" style="4" bestFit="1" customWidth="1"/>
    <col min="13" max="13" width="14.5703125" style="4" bestFit="1" customWidth="1"/>
    <col min="14" max="14" width="17.42578125" style="4" bestFit="1"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c r="A6" s="5" t="s">
        <v>121</v>
      </c>
      <c r="C6" s="734" t="s">
        <v>238</v>
      </c>
      <c r="D6" s="734"/>
      <c r="E6" s="734"/>
      <c r="F6" s="734"/>
      <c r="G6" s="734"/>
      <c r="H6" s="734"/>
      <c r="I6" s="734"/>
      <c r="J6" s="734"/>
      <c r="K6" s="734"/>
      <c r="L6" s="734"/>
      <c r="M6" s="734"/>
      <c r="N6" s="734"/>
    </row>
    <row r="7" spans="1:15">
      <c r="A7" s="5" t="s">
        <v>3</v>
      </c>
      <c r="C7" s="700" t="s">
        <v>239</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c r="A9" s="5" t="s">
        <v>124</v>
      </c>
      <c r="C9" s="735">
        <v>0.95</v>
      </c>
      <c r="D9" s="736"/>
      <c r="E9" s="736"/>
      <c r="F9" s="736"/>
      <c r="G9" s="736"/>
      <c r="H9" s="736"/>
      <c r="I9" s="736"/>
      <c r="J9" s="736"/>
      <c r="K9" s="736"/>
      <c r="L9" s="736"/>
      <c r="M9" s="736"/>
      <c r="N9" s="736"/>
    </row>
    <row r="10" spans="1:15">
      <c r="A10" s="5" t="s">
        <v>5</v>
      </c>
      <c r="C10" s="64" t="s">
        <v>15</v>
      </c>
      <c r="D10" s="64"/>
      <c r="E10" s="64"/>
      <c r="F10" s="64"/>
      <c r="G10" s="64"/>
      <c r="H10" s="64"/>
      <c r="I10" s="64"/>
      <c r="J10" s="64"/>
      <c r="K10" s="64"/>
      <c r="L10" s="64"/>
      <c r="M10" s="64"/>
      <c r="N10" s="64"/>
    </row>
    <row r="11" spans="1:15">
      <c r="A11" s="5" t="s">
        <v>6</v>
      </c>
      <c r="C11" s="64" t="s">
        <v>227</v>
      </c>
      <c r="D11" s="64"/>
      <c r="E11" s="64"/>
      <c r="F11" s="64"/>
      <c r="G11" s="64"/>
      <c r="H11" s="64"/>
      <c r="I11" s="64"/>
      <c r="J11" s="64"/>
      <c r="K11" s="64"/>
      <c r="L11" s="64"/>
      <c r="M11" s="64"/>
      <c r="N11" s="64"/>
    </row>
    <row r="12" spans="1:15">
      <c r="A12" s="5" t="s">
        <v>7</v>
      </c>
      <c r="C12" s="700"/>
      <c r="D12" s="700"/>
      <c r="E12" s="700"/>
      <c r="F12" s="700"/>
      <c r="G12" s="700"/>
      <c r="H12" s="700"/>
      <c r="I12" s="700"/>
      <c r="J12" s="700"/>
      <c r="K12" s="700"/>
      <c r="L12" s="700"/>
      <c r="M12" s="700"/>
      <c r="N12" s="700"/>
    </row>
    <row r="13" spans="1:15">
      <c r="A13" s="737" t="s">
        <v>125</v>
      </c>
      <c r="B13" s="737"/>
      <c r="C13" s="700" t="s">
        <v>227</v>
      </c>
      <c r="D13" s="700"/>
      <c r="E13" s="700"/>
      <c r="F13" s="700"/>
      <c r="G13" s="700"/>
      <c r="H13" s="700"/>
      <c r="I13" s="700"/>
      <c r="J13" s="700"/>
      <c r="K13" s="700"/>
      <c r="L13" s="700"/>
      <c r="M13" s="700"/>
      <c r="N13" s="700"/>
    </row>
    <row r="14" spans="1:15">
      <c r="A14" s="5" t="s">
        <v>127</v>
      </c>
      <c r="C14" s="700"/>
      <c r="D14" s="700"/>
      <c r="E14" s="700"/>
      <c r="F14" s="700"/>
      <c r="G14" s="700"/>
      <c r="H14" s="700"/>
      <c r="I14" s="700"/>
      <c r="J14" s="700"/>
      <c r="K14" s="700"/>
      <c r="L14" s="700"/>
      <c r="M14" s="700"/>
      <c r="N14" s="700"/>
    </row>
    <row r="15" spans="1:15">
      <c r="A15" s="5" t="s">
        <v>10</v>
      </c>
      <c r="C15" s="701"/>
      <c r="D15" s="701"/>
      <c r="E15" s="701"/>
      <c r="F15" s="701"/>
      <c r="G15" s="701"/>
      <c r="H15" s="701"/>
      <c r="I15" s="701"/>
      <c r="J15" s="701"/>
      <c r="K15" s="701"/>
      <c r="L15" s="701"/>
      <c r="M15" s="701"/>
      <c r="N15" s="701"/>
    </row>
    <row r="16" spans="1:15">
      <c r="A16" s="737" t="s">
        <v>128</v>
      </c>
      <c r="B16" s="737"/>
      <c r="C16" s="833"/>
      <c r="D16" s="833"/>
      <c r="E16" s="833"/>
      <c r="F16" s="833"/>
      <c r="G16" s="833"/>
      <c r="H16" s="833"/>
      <c r="I16" s="833"/>
      <c r="J16" s="833"/>
      <c r="K16" s="833"/>
      <c r="L16" s="833"/>
      <c r="M16" s="833"/>
      <c r="N16" s="833"/>
    </row>
    <row r="17" spans="1:14" ht="24.75" customHeight="1">
      <c r="A17" s="707" t="s">
        <v>443</v>
      </c>
      <c r="B17" s="707"/>
      <c r="C17" s="708">
        <v>44784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33" t="s">
        <v>129</v>
      </c>
      <c r="C19" s="124" t="s">
        <v>326</v>
      </c>
      <c r="D19" s="124" t="s">
        <v>327</v>
      </c>
      <c r="E19" s="124" t="s">
        <v>328</v>
      </c>
      <c r="F19" s="124" t="s">
        <v>329</v>
      </c>
      <c r="G19" s="124" t="s">
        <v>330</v>
      </c>
      <c r="H19" s="124" t="s">
        <v>331</v>
      </c>
      <c r="I19" s="124" t="s">
        <v>332</v>
      </c>
      <c r="J19" s="124" t="s">
        <v>333</v>
      </c>
      <c r="K19" s="124" t="s">
        <v>321</v>
      </c>
      <c r="L19" s="124" t="s">
        <v>322</v>
      </c>
      <c r="M19" s="124" t="s">
        <v>323</v>
      </c>
      <c r="N19" s="124" t="s">
        <v>324</v>
      </c>
    </row>
    <row r="20" spans="1:14">
      <c r="A20" s="4"/>
      <c r="B20" s="139" t="s">
        <v>340</v>
      </c>
      <c r="C20" s="151">
        <f>+C43</f>
        <v>70640421.079999998</v>
      </c>
      <c r="D20" s="151">
        <f>+C44</f>
        <v>64797132.100000001</v>
      </c>
      <c r="E20" s="151">
        <f>+C45</f>
        <v>65530886.880000003</v>
      </c>
      <c r="F20" s="151">
        <f>+C46</f>
        <v>65001592.75</v>
      </c>
      <c r="G20" s="151">
        <f>+C47</f>
        <v>73719641.109999999</v>
      </c>
      <c r="H20" s="151">
        <f>+C48</f>
        <v>69345342.790000007</v>
      </c>
      <c r="I20" s="151">
        <f>+C49</f>
        <v>69277030.099999994</v>
      </c>
      <c r="J20" s="151">
        <f>+C50</f>
        <v>0</v>
      </c>
      <c r="K20" s="151">
        <f>+C51</f>
        <v>0</v>
      </c>
      <c r="L20" s="151">
        <f>+C52</f>
        <v>0</v>
      </c>
      <c r="M20" s="142">
        <f>+C53</f>
        <v>0</v>
      </c>
      <c r="N20" s="142">
        <f>+C54</f>
        <v>0</v>
      </c>
    </row>
    <row r="21" spans="1:14">
      <c r="A21" s="4"/>
      <c r="B21" s="143" t="s">
        <v>341</v>
      </c>
      <c r="C21" s="152">
        <f>+B43</f>
        <v>68224253.329999998</v>
      </c>
      <c r="D21" s="152">
        <f>+B44</f>
        <v>62212894.289999999</v>
      </c>
      <c r="E21" s="152">
        <f>+B45</f>
        <v>64247654.509999998</v>
      </c>
      <c r="F21" s="152">
        <f>+B46</f>
        <v>63570068.810000002</v>
      </c>
      <c r="G21" s="152">
        <f>+B47</f>
        <v>72528344.129999995</v>
      </c>
      <c r="H21" s="152">
        <f>+B48</f>
        <v>66912181.520000003</v>
      </c>
      <c r="I21" s="152">
        <f>+B49</f>
        <v>67582322.849999994</v>
      </c>
      <c r="J21" s="152">
        <f>+B50</f>
        <v>0</v>
      </c>
      <c r="K21" s="152">
        <f>+B51</f>
        <v>0</v>
      </c>
      <c r="L21" s="152">
        <f>+B52</f>
        <v>0</v>
      </c>
      <c r="M21" s="144">
        <f>+B53</f>
        <v>0</v>
      </c>
      <c r="N21" s="144">
        <f>+B54</f>
        <v>0</v>
      </c>
    </row>
    <row r="22" spans="1:14" s="126" customFormat="1">
      <c r="B22" s="153" t="s">
        <v>336</v>
      </c>
      <c r="C22" s="154">
        <v>0.95</v>
      </c>
      <c r="D22" s="154">
        <v>0.95</v>
      </c>
      <c r="E22" s="154">
        <v>0.95</v>
      </c>
      <c r="F22" s="154">
        <v>0.95</v>
      </c>
      <c r="G22" s="154">
        <v>0.95</v>
      </c>
      <c r="H22" s="154">
        <v>0.95</v>
      </c>
      <c r="I22" s="154">
        <v>0.95</v>
      </c>
      <c r="J22" s="154">
        <v>0.95</v>
      </c>
      <c r="K22" s="154">
        <v>0.95</v>
      </c>
      <c r="L22" s="154">
        <v>0.95</v>
      </c>
      <c r="M22" s="154">
        <v>0.95</v>
      </c>
      <c r="N22" s="154">
        <v>0.95</v>
      </c>
    </row>
    <row r="23" spans="1:14" s="130" customFormat="1" ht="35.25" customHeight="1">
      <c r="A23" s="834" t="s">
        <v>142</v>
      </c>
      <c r="B23" s="869"/>
      <c r="C23" s="155">
        <f>+G43</f>
        <v>0.96579624366531314</v>
      </c>
      <c r="D23" s="156">
        <f>+G44</f>
        <v>0.96011802179744921</v>
      </c>
      <c r="E23" s="156">
        <f>+G45</f>
        <v>0.98041790015218544</v>
      </c>
      <c r="F23" s="156">
        <f>+G46</f>
        <v>0.97797709441512115</v>
      </c>
      <c r="G23" s="156">
        <f>+G47</f>
        <v>0.98384016848071165</v>
      </c>
      <c r="H23" s="156">
        <f>+G48</f>
        <v>0.96491240547518242</v>
      </c>
      <c r="I23" s="156">
        <f>+G49</f>
        <v>0.97553724160008415</v>
      </c>
      <c r="J23" s="156" t="e">
        <f>+G50</f>
        <v>#DIV/0!</v>
      </c>
      <c r="K23" s="156" t="e">
        <f>+G51</f>
        <v>#DIV/0!</v>
      </c>
      <c r="L23" s="156" t="e">
        <f>+G52</f>
        <v>#DIV/0!</v>
      </c>
      <c r="M23" s="156" t="e">
        <f>+G53</f>
        <v>#DIV/0!</v>
      </c>
      <c r="N23" s="156" t="e">
        <f>+G54</f>
        <v>#DIV/0!</v>
      </c>
    </row>
    <row r="24" spans="1:14" ht="42" customHeight="1">
      <c r="A24" s="13" t="s">
        <v>143</v>
      </c>
      <c r="B24" s="13"/>
      <c r="C24" s="147">
        <f>+IF(C23&gt;0.9,1,C23/0.9)</f>
        <v>1</v>
      </c>
      <c r="D24" s="147">
        <f>+IF(D23&gt;0.9,1,D23/0.9)</f>
        <v>1</v>
      </c>
      <c r="E24" s="147">
        <f t="shared" ref="E24:M24" si="0">+IF(E23&gt;0.9,1,E23/0.9)</f>
        <v>1</v>
      </c>
      <c r="F24" s="147">
        <f t="shared" si="0"/>
        <v>1</v>
      </c>
      <c r="G24" s="147">
        <f t="shared" si="0"/>
        <v>1</v>
      </c>
      <c r="H24" s="147">
        <f t="shared" si="0"/>
        <v>1</v>
      </c>
      <c r="I24" s="147">
        <f t="shared" si="0"/>
        <v>1</v>
      </c>
      <c r="J24" s="147" t="e">
        <f t="shared" si="0"/>
        <v>#DIV/0!</v>
      </c>
      <c r="K24" s="147" t="e">
        <f t="shared" si="0"/>
        <v>#DIV/0!</v>
      </c>
      <c r="L24" s="147" t="e">
        <f t="shared" si="0"/>
        <v>#DIV/0!</v>
      </c>
      <c r="M24" s="147" t="e">
        <f t="shared" si="0"/>
        <v>#DIV/0!</v>
      </c>
      <c r="N24" s="147">
        <v>0.9</v>
      </c>
    </row>
    <row r="25" spans="1:14" s="19" customFormat="1" ht="207" customHeight="1">
      <c r="A25" s="15" t="s">
        <v>144</v>
      </c>
      <c r="B25" s="16"/>
      <c r="C25" s="17"/>
      <c r="D25" s="17"/>
      <c r="E25" s="17"/>
      <c r="F25" s="17"/>
      <c r="G25" s="17"/>
      <c r="H25" s="17"/>
      <c r="I25" s="17"/>
      <c r="J25" s="17"/>
      <c r="K25" s="17"/>
      <c r="L25" s="17"/>
      <c r="M25" s="17"/>
      <c r="N25" s="18"/>
    </row>
    <row r="26" spans="1:14" ht="7.5" customHeight="1"/>
    <row r="27" spans="1:14" ht="25.5" customHeight="1">
      <c r="A27" s="20" t="s">
        <v>145</v>
      </c>
      <c r="B27" s="21"/>
      <c r="C27" s="22"/>
      <c r="D27" s="22"/>
      <c r="E27" s="22"/>
      <c r="F27" s="22"/>
      <c r="G27" s="23" t="s">
        <v>146</v>
      </c>
      <c r="H27" s="22"/>
      <c r="I27" s="22"/>
      <c r="J27" s="22"/>
      <c r="K27" s="22"/>
      <c r="L27" s="22"/>
      <c r="M27" s="22"/>
      <c r="N27" s="24"/>
    </row>
    <row r="28" spans="1:14">
      <c r="A28" s="25" t="s">
        <v>129</v>
      </c>
      <c r="G28" s="26"/>
      <c r="N28" s="27"/>
    </row>
    <row r="29" spans="1:14" s="19" customFormat="1" ht="16.5" customHeight="1">
      <c r="A29" s="28" t="s">
        <v>326</v>
      </c>
      <c r="B29" s="855" t="s">
        <v>644</v>
      </c>
      <c r="C29" s="856"/>
      <c r="D29" s="856"/>
      <c r="E29" s="856"/>
      <c r="F29" s="857"/>
      <c r="G29" s="858" t="s">
        <v>645</v>
      </c>
      <c r="H29" s="859"/>
      <c r="I29" s="859"/>
      <c r="J29" s="859"/>
      <c r="K29" s="859"/>
      <c r="L29" s="859"/>
      <c r="M29" s="859"/>
      <c r="N29" s="860"/>
    </row>
    <row r="30" spans="1:14" s="19" customFormat="1">
      <c r="A30" s="32" t="s">
        <v>327</v>
      </c>
      <c r="B30" s="855" t="s">
        <v>644</v>
      </c>
      <c r="C30" s="856"/>
      <c r="D30" s="856"/>
      <c r="E30" s="856"/>
      <c r="F30" s="857"/>
      <c r="G30" s="858" t="s">
        <v>645</v>
      </c>
      <c r="H30" s="859"/>
      <c r="I30" s="859"/>
      <c r="J30" s="859"/>
      <c r="K30" s="859"/>
      <c r="L30" s="859"/>
      <c r="M30" s="859"/>
      <c r="N30" s="860"/>
    </row>
    <row r="31" spans="1:14" s="19" customFormat="1">
      <c r="A31" s="32" t="s">
        <v>328</v>
      </c>
      <c r="B31" s="855" t="s">
        <v>644</v>
      </c>
      <c r="C31" s="856"/>
      <c r="D31" s="856"/>
      <c r="E31" s="856"/>
      <c r="F31" s="857"/>
      <c r="G31" s="858" t="s">
        <v>645</v>
      </c>
      <c r="H31" s="859"/>
      <c r="I31" s="859"/>
      <c r="J31" s="859"/>
      <c r="K31" s="859"/>
      <c r="L31" s="859"/>
      <c r="M31" s="859"/>
      <c r="N31" s="860"/>
    </row>
    <row r="32" spans="1:14" s="19" customFormat="1">
      <c r="A32" s="32" t="s">
        <v>329</v>
      </c>
      <c r="B32" s="855" t="s">
        <v>644</v>
      </c>
      <c r="C32" s="856"/>
      <c r="D32" s="856"/>
      <c r="E32" s="856"/>
      <c r="F32" s="857"/>
      <c r="G32" s="858" t="s">
        <v>645</v>
      </c>
      <c r="H32" s="859"/>
      <c r="I32" s="859"/>
      <c r="J32" s="859"/>
      <c r="K32" s="859"/>
      <c r="L32" s="859"/>
      <c r="M32" s="859"/>
      <c r="N32" s="860"/>
    </row>
    <row r="33" spans="1:26" s="19" customFormat="1" ht="16.5" customHeight="1">
      <c r="A33" s="32" t="s">
        <v>330</v>
      </c>
      <c r="B33" s="855" t="s">
        <v>644</v>
      </c>
      <c r="C33" s="856"/>
      <c r="D33" s="856"/>
      <c r="E33" s="856"/>
      <c r="F33" s="857"/>
      <c r="G33" s="858" t="s">
        <v>645</v>
      </c>
      <c r="H33" s="859"/>
      <c r="I33" s="859"/>
      <c r="J33" s="859"/>
      <c r="K33" s="859"/>
      <c r="L33" s="859"/>
      <c r="M33" s="859"/>
      <c r="N33" s="860"/>
    </row>
    <row r="34" spans="1:26" s="19" customFormat="1" ht="16.5" customHeight="1">
      <c r="A34" s="32" t="s">
        <v>331</v>
      </c>
      <c r="B34" s="855" t="s">
        <v>644</v>
      </c>
      <c r="C34" s="856"/>
      <c r="D34" s="856"/>
      <c r="E34" s="856"/>
      <c r="F34" s="857"/>
      <c r="G34" s="858" t="s">
        <v>645</v>
      </c>
      <c r="H34" s="859"/>
      <c r="I34" s="859"/>
      <c r="J34" s="859"/>
      <c r="K34" s="859"/>
      <c r="L34" s="859"/>
      <c r="M34" s="859"/>
      <c r="N34" s="860"/>
    </row>
    <row r="35" spans="1:26" s="19" customFormat="1">
      <c r="A35" s="32" t="s">
        <v>332</v>
      </c>
      <c r="B35" s="855" t="s">
        <v>644</v>
      </c>
      <c r="C35" s="856"/>
      <c r="D35" s="856"/>
      <c r="E35" s="856"/>
      <c r="F35" s="857"/>
      <c r="G35" s="858" t="s">
        <v>645</v>
      </c>
      <c r="H35" s="859"/>
      <c r="I35" s="859"/>
      <c r="J35" s="859"/>
      <c r="K35" s="859"/>
      <c r="L35" s="859"/>
      <c r="M35" s="859"/>
      <c r="N35" s="860"/>
    </row>
    <row r="36" spans="1:26" s="19" customFormat="1" ht="16.5" customHeight="1">
      <c r="A36" s="32" t="s">
        <v>333</v>
      </c>
      <c r="B36" s="855"/>
      <c r="C36" s="856"/>
      <c r="D36" s="856"/>
      <c r="E36" s="856"/>
      <c r="F36" s="857"/>
      <c r="G36" s="858"/>
      <c r="H36" s="859"/>
      <c r="I36" s="859"/>
      <c r="J36" s="859"/>
      <c r="K36" s="859"/>
      <c r="L36" s="859"/>
      <c r="M36" s="859"/>
      <c r="N36" s="860"/>
    </row>
    <row r="37" spans="1:26" s="19" customFormat="1" ht="16.5" customHeight="1">
      <c r="A37" s="32" t="s">
        <v>321</v>
      </c>
      <c r="B37" s="855"/>
      <c r="C37" s="856"/>
      <c r="D37" s="856"/>
      <c r="E37" s="856"/>
      <c r="F37" s="857"/>
      <c r="G37" s="858"/>
      <c r="H37" s="859"/>
      <c r="I37" s="859"/>
      <c r="J37" s="859"/>
      <c r="K37" s="859"/>
      <c r="L37" s="859"/>
      <c r="M37" s="859"/>
      <c r="N37" s="860"/>
    </row>
    <row r="38" spans="1:26" s="19" customFormat="1">
      <c r="A38" s="32" t="s">
        <v>322</v>
      </c>
      <c r="B38" s="855"/>
      <c r="C38" s="856"/>
      <c r="D38" s="856"/>
      <c r="E38" s="856"/>
      <c r="F38" s="857"/>
      <c r="G38" s="858"/>
      <c r="H38" s="859"/>
      <c r="I38" s="859"/>
      <c r="J38" s="859"/>
      <c r="K38" s="859"/>
      <c r="L38" s="859"/>
      <c r="M38" s="859"/>
      <c r="N38" s="860"/>
    </row>
    <row r="39" spans="1:26" s="19" customFormat="1" ht="28.5" customHeight="1">
      <c r="A39" s="32" t="s">
        <v>323</v>
      </c>
      <c r="B39" s="855"/>
      <c r="C39" s="856"/>
      <c r="D39" s="856"/>
      <c r="E39" s="856"/>
      <c r="F39" s="857"/>
      <c r="G39" s="739"/>
      <c r="H39" s="740"/>
      <c r="I39" s="740"/>
      <c r="J39" s="740"/>
      <c r="K39" s="740"/>
      <c r="L39" s="740"/>
      <c r="M39" s="740"/>
      <c r="N39" s="741"/>
    </row>
    <row r="40" spans="1:26" s="19" customFormat="1" ht="28.5" customHeight="1">
      <c r="A40" s="39" t="s">
        <v>324</v>
      </c>
      <c r="B40" s="855"/>
      <c r="C40" s="856"/>
      <c r="D40" s="856"/>
      <c r="E40" s="856"/>
      <c r="F40" s="857"/>
      <c r="G40" s="739"/>
      <c r="H40" s="740"/>
      <c r="I40" s="740"/>
      <c r="J40" s="740"/>
      <c r="K40" s="740"/>
      <c r="L40" s="740"/>
      <c r="M40" s="740"/>
      <c r="N40" s="741"/>
    </row>
    <row r="42" spans="1:26">
      <c r="A42" s="133" t="s">
        <v>342</v>
      </c>
      <c r="B42" s="133" t="s">
        <v>344</v>
      </c>
      <c r="C42" s="837" t="s">
        <v>345</v>
      </c>
      <c r="D42" s="837"/>
      <c r="E42" s="837"/>
      <c r="F42" s="837"/>
      <c r="G42" s="837" t="s">
        <v>152</v>
      </c>
      <c r="H42" s="837"/>
      <c r="P42" s="4">
        <v>0.97863261207755647</v>
      </c>
      <c r="Q42" s="157">
        <v>0.97863261207755647</v>
      </c>
      <c r="R42" s="157">
        <v>0.89044193594844168</v>
      </c>
      <c r="S42" s="157">
        <v>1.0112024844725878</v>
      </c>
      <c r="T42" s="157">
        <v>0.94553104597327697</v>
      </c>
      <c r="U42" s="157">
        <v>0.92755155191391048</v>
      </c>
      <c r="V42" s="157">
        <v>0.95159638275624681</v>
      </c>
      <c r="W42" s="157">
        <v>0.89212880851654275</v>
      </c>
      <c r="X42" s="157">
        <v>0.94189360940754507</v>
      </c>
      <c r="Y42" s="157">
        <v>0.89718549455803531</v>
      </c>
      <c r="Z42" s="157">
        <v>1.0169114259071632</v>
      </c>
    </row>
    <row r="43" spans="1:26">
      <c r="A43" s="133">
        <v>1</v>
      </c>
      <c r="B43" s="148">
        <v>68224253.329999998</v>
      </c>
      <c r="C43" s="861">
        <v>70640421.079999998</v>
      </c>
      <c r="D43" s="861"/>
      <c r="E43" s="861"/>
      <c r="F43" s="861"/>
      <c r="G43" s="862">
        <f>+B43/C43</f>
        <v>0.96579624366531314</v>
      </c>
      <c r="H43" s="862"/>
      <c r="P43" s="4">
        <v>0.89044193594844168</v>
      </c>
    </row>
    <row r="44" spans="1:26">
      <c r="A44" s="133">
        <v>2</v>
      </c>
      <c r="B44" s="148">
        <v>62212894.289999999</v>
      </c>
      <c r="C44" s="861">
        <v>64797132.100000001</v>
      </c>
      <c r="D44" s="861"/>
      <c r="E44" s="861"/>
      <c r="F44" s="861"/>
      <c r="G44" s="862">
        <f t="shared" ref="G44:G52" si="1">+B44/C44</f>
        <v>0.96011802179744921</v>
      </c>
      <c r="H44" s="862"/>
      <c r="P44" s="4">
        <v>1.0112024844725878</v>
      </c>
    </row>
    <row r="45" spans="1:26">
      <c r="A45" s="133">
        <v>3</v>
      </c>
      <c r="B45" s="148">
        <v>64247654.509999998</v>
      </c>
      <c r="C45" s="861">
        <v>65530886.880000003</v>
      </c>
      <c r="D45" s="861"/>
      <c r="E45" s="861"/>
      <c r="F45" s="861"/>
      <c r="G45" s="862">
        <f t="shared" si="1"/>
        <v>0.98041790015218544</v>
      </c>
      <c r="H45" s="862"/>
      <c r="P45" s="4">
        <v>0.94553104597327697</v>
      </c>
    </row>
    <row r="46" spans="1:26">
      <c r="A46" s="133">
        <v>4</v>
      </c>
      <c r="B46" s="148">
        <v>63570068.810000002</v>
      </c>
      <c r="C46" s="861">
        <v>65001592.75</v>
      </c>
      <c r="D46" s="861"/>
      <c r="E46" s="861"/>
      <c r="F46" s="861"/>
      <c r="G46" s="862">
        <f t="shared" si="1"/>
        <v>0.97797709441512115</v>
      </c>
      <c r="H46" s="862"/>
      <c r="P46" s="4">
        <v>0.92755155191391048</v>
      </c>
    </row>
    <row r="47" spans="1:26">
      <c r="A47" s="133">
        <v>5</v>
      </c>
      <c r="B47" s="148">
        <v>72528344.129999995</v>
      </c>
      <c r="C47" s="861">
        <v>73719641.109999999</v>
      </c>
      <c r="D47" s="861"/>
      <c r="E47" s="861"/>
      <c r="F47" s="861"/>
      <c r="G47" s="862">
        <f t="shared" si="1"/>
        <v>0.98384016848071165</v>
      </c>
      <c r="H47" s="862"/>
      <c r="P47" s="4">
        <v>0.95159638275624681</v>
      </c>
    </row>
    <row r="48" spans="1:26">
      <c r="A48" s="133">
        <v>6</v>
      </c>
      <c r="B48" s="148">
        <v>66912181.520000003</v>
      </c>
      <c r="C48" s="861">
        <v>69345342.790000007</v>
      </c>
      <c r="D48" s="861"/>
      <c r="E48" s="861"/>
      <c r="F48" s="861"/>
      <c r="G48" s="862">
        <f t="shared" si="1"/>
        <v>0.96491240547518242</v>
      </c>
      <c r="H48" s="862"/>
      <c r="P48" s="4">
        <v>0.89212880851654275</v>
      </c>
    </row>
    <row r="49" spans="1:16">
      <c r="A49" s="133">
        <v>7</v>
      </c>
      <c r="B49" s="148">
        <v>67582322.849999994</v>
      </c>
      <c r="C49" s="861">
        <v>69277030.099999994</v>
      </c>
      <c r="D49" s="861"/>
      <c r="E49" s="861"/>
      <c r="F49" s="861"/>
      <c r="G49" s="862">
        <f t="shared" si="1"/>
        <v>0.97553724160008415</v>
      </c>
      <c r="H49" s="862"/>
      <c r="P49" s="4">
        <v>0.94189360940754507</v>
      </c>
    </row>
    <row r="50" spans="1:16">
      <c r="A50" s="133">
        <v>8</v>
      </c>
      <c r="B50" s="240"/>
      <c r="C50" s="861"/>
      <c r="D50" s="861"/>
      <c r="E50" s="861"/>
      <c r="F50" s="861"/>
      <c r="G50" s="862" t="e">
        <f t="shared" si="1"/>
        <v>#DIV/0!</v>
      </c>
      <c r="H50" s="862"/>
      <c r="P50" s="4">
        <v>0.89718549455803531</v>
      </c>
    </row>
    <row r="51" spans="1:16">
      <c r="A51" s="133">
        <v>9</v>
      </c>
      <c r="B51" s="149"/>
      <c r="C51" s="861"/>
      <c r="D51" s="861"/>
      <c r="E51" s="861"/>
      <c r="F51" s="861"/>
      <c r="G51" s="862" t="e">
        <f t="shared" si="1"/>
        <v>#DIV/0!</v>
      </c>
      <c r="H51" s="862"/>
      <c r="P51" s="4">
        <v>1.0169114259071632</v>
      </c>
    </row>
    <row r="52" spans="1:16">
      <c r="A52" s="133">
        <v>10</v>
      </c>
      <c r="B52" s="149"/>
      <c r="C52" s="870"/>
      <c r="D52" s="870"/>
      <c r="E52" s="870"/>
      <c r="F52" s="870"/>
      <c r="G52" s="862" t="e">
        <f t="shared" si="1"/>
        <v>#DIV/0!</v>
      </c>
      <c r="H52" s="862"/>
    </row>
    <row r="53" spans="1:16">
      <c r="A53" s="133">
        <v>11</v>
      </c>
      <c r="B53" s="239"/>
      <c r="C53" s="870"/>
      <c r="D53" s="870"/>
      <c r="E53" s="870"/>
      <c r="F53" s="870"/>
      <c r="G53" s="862" t="e">
        <f>+B53/C53</f>
        <v>#DIV/0!</v>
      </c>
      <c r="H53" s="862"/>
    </row>
    <row r="54" spans="1:16">
      <c r="A54" s="133">
        <v>12</v>
      </c>
      <c r="B54" s="239"/>
      <c r="C54" s="870"/>
      <c r="D54" s="870"/>
      <c r="E54" s="870"/>
      <c r="F54" s="870"/>
      <c r="G54" s="862" t="e">
        <f>+B54/C54</f>
        <v>#DIV/0!</v>
      </c>
      <c r="H54" s="862"/>
    </row>
    <row r="57" spans="1:16">
      <c r="E57" s="150"/>
    </row>
    <row r="58" spans="1:16">
      <c r="E58" s="150"/>
    </row>
  </sheetData>
  <mergeCells count="72">
    <mergeCell ref="G52:H52"/>
    <mergeCell ref="G53:H53"/>
    <mergeCell ref="G54:H54"/>
    <mergeCell ref="C52:F52"/>
    <mergeCell ref="C53:F53"/>
    <mergeCell ref="C54:F54"/>
    <mergeCell ref="C49:F49"/>
    <mergeCell ref="G49:H49"/>
    <mergeCell ref="C50:F50"/>
    <mergeCell ref="G50:H50"/>
    <mergeCell ref="C51:F51"/>
    <mergeCell ref="G51:H51"/>
    <mergeCell ref="C46:F46"/>
    <mergeCell ref="G46:H46"/>
    <mergeCell ref="C47:F47"/>
    <mergeCell ref="G47:H47"/>
    <mergeCell ref="C48:F48"/>
    <mergeCell ref="G48:H48"/>
    <mergeCell ref="C43:F43"/>
    <mergeCell ref="G43:H43"/>
    <mergeCell ref="C44:F44"/>
    <mergeCell ref="G44:H44"/>
    <mergeCell ref="C45:F45"/>
    <mergeCell ref="G45:H45"/>
    <mergeCell ref="C42:F42"/>
    <mergeCell ref="G42:H42"/>
    <mergeCell ref="B40:F40"/>
    <mergeCell ref="G40:N40"/>
    <mergeCell ref="B39:F39"/>
    <mergeCell ref="G39:N39"/>
    <mergeCell ref="B36:F36"/>
    <mergeCell ref="G36:N36"/>
    <mergeCell ref="B37:F37"/>
    <mergeCell ref="G37:N37"/>
    <mergeCell ref="B38:F38"/>
    <mergeCell ref="G38:N38"/>
    <mergeCell ref="B33:F33"/>
    <mergeCell ref="G33:N33"/>
    <mergeCell ref="B34:F34"/>
    <mergeCell ref="G34:N34"/>
    <mergeCell ref="B35:F35"/>
    <mergeCell ref="G35:N35"/>
    <mergeCell ref="B30:F30"/>
    <mergeCell ref="G30:N30"/>
    <mergeCell ref="B31:F31"/>
    <mergeCell ref="G31:N31"/>
    <mergeCell ref="B32:F32"/>
    <mergeCell ref="G32:N32"/>
    <mergeCell ref="B29:F29"/>
    <mergeCell ref="G29:N29"/>
    <mergeCell ref="C6:N6"/>
    <mergeCell ref="C7:N7"/>
    <mergeCell ref="C9:N9"/>
    <mergeCell ref="C12:N12"/>
    <mergeCell ref="A13:B13"/>
    <mergeCell ref="C13:N13"/>
    <mergeCell ref="C14:N14"/>
    <mergeCell ref="C15:N15"/>
    <mergeCell ref="A16:B16"/>
    <mergeCell ref="C16:N16"/>
    <mergeCell ref="A23:B23"/>
    <mergeCell ref="A17:B17"/>
    <mergeCell ref="C17:N17"/>
    <mergeCell ref="A1:J4"/>
    <mergeCell ref="K1:L1"/>
    <mergeCell ref="M1:N1"/>
    <mergeCell ref="K2:L2"/>
    <mergeCell ref="M2:N2"/>
    <mergeCell ref="K3:L3"/>
    <mergeCell ref="M3:N3"/>
    <mergeCell ref="K4:L4"/>
    <mergeCell ref="M4:N4"/>
  </mergeCells>
  <hyperlinks>
    <hyperlink ref="O5" location="'Matriz Sta Ana'!A1" display="Volver" xr:uid="{23273650-B747-4837-B443-22EC6F5EDD14}"/>
  </hyperlinks>
  <pageMargins left="0.7" right="0.7" top="0.75" bottom="0.75" header="0.3" footer="0.3"/>
  <pageSetup scale="59" orientation="portrait" r:id="rId1"/>
  <colBreaks count="2" manualBreakCount="2">
    <brk id="5" max="55" man="1"/>
    <brk id="14" max="1048575" man="1"/>
  </colBreaks>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57F0F-390E-4B02-A58A-A4CA2DE164C3}">
  <sheetPr>
    <tabColor rgb="FF00B0F0"/>
    <pageSetUpPr fitToPage="1"/>
  </sheetPr>
  <dimension ref="A1:O43"/>
  <sheetViews>
    <sheetView topLeftCell="A7" zoomScaleNormal="100" zoomScaleSheetLayoutView="100" workbookViewId="0">
      <selection sqref="A1:J4"/>
    </sheetView>
  </sheetViews>
  <sheetFormatPr baseColWidth="10" defaultColWidth="11.42578125" defaultRowHeight="16.5"/>
  <cols>
    <col min="1" max="1" width="7.42578125" style="5" customWidth="1"/>
    <col min="2" max="2" width="33.5703125" style="5" customWidth="1"/>
    <col min="3" max="5" width="7.140625" style="4" customWidth="1"/>
    <col min="6" max="6" width="9.42578125" style="4" customWidth="1"/>
    <col min="7" max="13" width="7.140625" style="4" customWidth="1"/>
    <col min="14" max="14" width="8.140625" style="4"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9.5" customHeight="1">
      <c r="A6" s="5" t="s">
        <v>121</v>
      </c>
      <c r="C6" s="734" t="s">
        <v>76</v>
      </c>
      <c r="D6" s="734"/>
      <c r="E6" s="734"/>
      <c r="F6" s="734"/>
      <c r="G6" s="734"/>
      <c r="H6" s="734"/>
      <c r="I6" s="734"/>
      <c r="J6" s="734"/>
      <c r="K6" s="734"/>
      <c r="L6" s="734"/>
      <c r="M6" s="734"/>
      <c r="N6" s="734"/>
    </row>
    <row r="7" spans="1:15" ht="18.75" customHeight="1">
      <c r="A7" s="5" t="s">
        <v>3</v>
      </c>
      <c r="C7" s="700" t="s">
        <v>346</v>
      </c>
      <c r="D7" s="700"/>
      <c r="E7" s="700"/>
      <c r="F7" s="700"/>
      <c r="G7" s="700"/>
      <c r="H7" s="700"/>
      <c r="I7" s="700"/>
      <c r="J7" s="700"/>
      <c r="K7" s="700"/>
      <c r="L7" s="700"/>
      <c r="M7" s="700"/>
      <c r="N7" s="700"/>
    </row>
    <row r="8" spans="1:15">
      <c r="A8" s="5" t="s">
        <v>122</v>
      </c>
      <c r="C8" s="8" t="s">
        <v>347</v>
      </c>
      <c r="D8" s="8"/>
      <c r="E8" s="8"/>
      <c r="F8" s="8"/>
      <c r="G8" s="8"/>
      <c r="H8" s="8"/>
      <c r="I8" s="8"/>
      <c r="J8" s="8"/>
      <c r="K8" s="8"/>
      <c r="L8" s="8"/>
      <c r="M8" s="8"/>
      <c r="N8" s="8"/>
    </row>
    <row r="9" spans="1:15" ht="17.25" customHeight="1">
      <c r="A9" s="5" t="s">
        <v>124</v>
      </c>
      <c r="C9" s="735" t="s">
        <v>348</v>
      </c>
      <c r="D9" s="736"/>
      <c r="E9" s="736"/>
      <c r="F9" s="736"/>
      <c r="G9" s="736"/>
      <c r="H9" s="736"/>
      <c r="I9" s="736"/>
      <c r="J9" s="736"/>
      <c r="K9" s="736"/>
      <c r="L9" s="736"/>
      <c r="M9" s="736"/>
      <c r="N9" s="736"/>
    </row>
    <row r="10" spans="1:15">
      <c r="A10" s="5" t="s">
        <v>5</v>
      </c>
      <c r="C10" s="64" t="s">
        <v>77</v>
      </c>
      <c r="D10" s="64"/>
      <c r="E10" s="64"/>
      <c r="F10" s="64"/>
      <c r="G10" s="64"/>
      <c r="H10" s="64"/>
      <c r="I10" s="64"/>
      <c r="J10" s="64"/>
      <c r="K10" s="64"/>
      <c r="L10" s="64"/>
      <c r="M10" s="64"/>
      <c r="N10" s="64"/>
    </row>
    <row r="11" spans="1:15">
      <c r="A11" s="5" t="s">
        <v>6</v>
      </c>
      <c r="C11" s="64" t="s">
        <v>227</v>
      </c>
      <c r="D11" s="64"/>
      <c r="E11" s="64"/>
      <c r="F11" s="64"/>
      <c r="G11" s="64"/>
      <c r="H11" s="64"/>
      <c r="I11" s="64"/>
      <c r="J11" s="64"/>
      <c r="K11" s="64"/>
      <c r="L11" s="64"/>
      <c r="M11" s="64"/>
      <c r="N11" s="64"/>
    </row>
    <row r="12" spans="1:15" ht="18" customHeight="1">
      <c r="A12" s="5" t="s">
        <v>7</v>
      </c>
      <c r="C12" s="700" t="s">
        <v>76</v>
      </c>
      <c r="D12" s="700"/>
      <c r="E12" s="700"/>
      <c r="F12" s="700"/>
      <c r="G12" s="700"/>
      <c r="H12" s="700"/>
      <c r="I12" s="700"/>
      <c r="J12" s="700"/>
      <c r="K12" s="700"/>
      <c r="L12" s="700"/>
      <c r="M12" s="700"/>
      <c r="N12" s="700"/>
    </row>
    <row r="13" spans="1:15" ht="30" customHeight="1">
      <c r="A13" s="737" t="s">
        <v>125</v>
      </c>
      <c r="B13" s="737"/>
      <c r="C13" s="700" t="s">
        <v>228</v>
      </c>
      <c r="D13" s="700"/>
      <c r="E13" s="700"/>
      <c r="F13" s="700"/>
      <c r="G13" s="700"/>
      <c r="H13" s="700"/>
      <c r="I13" s="700"/>
      <c r="J13" s="700"/>
      <c r="K13" s="700"/>
      <c r="L13" s="700"/>
      <c r="M13" s="700"/>
      <c r="N13" s="700"/>
    </row>
    <row r="14" spans="1:15" ht="74.25" customHeight="1">
      <c r="A14" s="5" t="s">
        <v>127</v>
      </c>
      <c r="C14" s="700" t="s">
        <v>349</v>
      </c>
      <c r="D14" s="700"/>
      <c r="E14" s="700"/>
      <c r="F14" s="700"/>
      <c r="G14" s="700"/>
      <c r="H14" s="700"/>
      <c r="I14" s="700"/>
      <c r="J14" s="700"/>
      <c r="K14" s="700"/>
      <c r="L14" s="700"/>
      <c r="M14" s="700"/>
      <c r="N14" s="700"/>
    </row>
    <row r="15" spans="1:15" ht="18" customHeight="1">
      <c r="A15" s="5" t="s">
        <v>10</v>
      </c>
      <c r="C15" s="701" t="s">
        <v>297</v>
      </c>
      <c r="D15" s="701"/>
      <c r="E15" s="701"/>
      <c r="F15" s="701"/>
      <c r="G15" s="701"/>
      <c r="H15" s="701"/>
      <c r="I15" s="701"/>
      <c r="J15" s="701"/>
      <c r="K15" s="701"/>
      <c r="L15" s="701"/>
      <c r="M15" s="701"/>
      <c r="N15" s="701"/>
    </row>
    <row r="16" spans="1:15">
      <c r="A16" s="4"/>
      <c r="B16" s="10" t="s">
        <v>129</v>
      </c>
      <c r="C16" s="11" t="s">
        <v>130</v>
      </c>
      <c r="D16" s="11" t="s">
        <v>131</v>
      </c>
      <c r="E16" s="11" t="s">
        <v>132</v>
      </c>
      <c r="F16" s="11" t="s">
        <v>133</v>
      </c>
      <c r="G16" s="11" t="s">
        <v>134</v>
      </c>
      <c r="H16" s="11" t="s">
        <v>135</v>
      </c>
      <c r="I16" s="11" t="s">
        <v>136</v>
      </c>
      <c r="J16" s="11" t="s">
        <v>137</v>
      </c>
      <c r="K16" s="11" t="s">
        <v>138</v>
      </c>
      <c r="L16" s="11" t="s">
        <v>139</v>
      </c>
      <c r="M16" s="11" t="s">
        <v>140</v>
      </c>
      <c r="N16" s="11" t="s">
        <v>141</v>
      </c>
    </row>
    <row r="17" spans="1:14">
      <c r="A17" s="4"/>
      <c r="B17" s="10"/>
      <c r="C17" s="11">
        <v>1</v>
      </c>
      <c r="D17" s="11">
        <v>2</v>
      </c>
      <c r="E17" s="11">
        <v>3</v>
      </c>
      <c r="F17" s="11">
        <v>4</v>
      </c>
      <c r="G17" s="11">
        <v>5</v>
      </c>
      <c r="H17" s="11">
        <v>6</v>
      </c>
      <c r="I17" s="11">
        <v>7</v>
      </c>
      <c r="J17" s="11">
        <v>8</v>
      </c>
      <c r="K17" s="11">
        <v>9</v>
      </c>
      <c r="L17" s="11">
        <v>10</v>
      </c>
      <c r="M17" s="11">
        <v>11</v>
      </c>
      <c r="N17" s="11">
        <v>12</v>
      </c>
    </row>
    <row r="18" spans="1:14" ht="35.25" customHeight="1">
      <c r="A18" s="702" t="s">
        <v>142</v>
      </c>
      <c r="B18" s="758"/>
      <c r="C18" s="12"/>
      <c r="D18" s="12"/>
      <c r="E18" s="12"/>
      <c r="F18" s="12"/>
      <c r="G18" s="12"/>
      <c r="H18" s="12"/>
      <c r="I18" s="12"/>
      <c r="J18" s="12"/>
      <c r="K18" s="12"/>
      <c r="L18" s="12"/>
      <c r="M18" s="12"/>
      <c r="N18" s="12"/>
    </row>
    <row r="19" spans="1:14" ht="42" customHeight="1">
      <c r="A19" s="13" t="s">
        <v>143</v>
      </c>
      <c r="B19" s="13"/>
      <c r="C19" s="14"/>
      <c r="D19" s="14"/>
      <c r="E19" s="14"/>
      <c r="F19" s="14"/>
      <c r="G19" s="14"/>
      <c r="H19" s="14"/>
      <c r="I19" s="14"/>
      <c r="J19" s="14"/>
      <c r="K19" s="14"/>
      <c r="L19" s="14"/>
      <c r="M19" s="14"/>
      <c r="N19" s="14"/>
    </row>
    <row r="20" spans="1:14" s="19" customFormat="1" ht="122.25" customHeight="1">
      <c r="A20" s="15" t="s">
        <v>144</v>
      </c>
      <c r="B20" s="16"/>
      <c r="C20" s="17"/>
      <c r="D20" s="17"/>
      <c r="E20" s="17"/>
      <c r="F20" s="17"/>
      <c r="G20" s="17"/>
      <c r="H20" s="17"/>
      <c r="I20" s="17"/>
      <c r="J20" s="17"/>
      <c r="K20" s="17"/>
      <c r="L20" s="17"/>
      <c r="M20" s="17"/>
      <c r="N20" s="18"/>
    </row>
    <row r="21" spans="1:14" ht="7.5" customHeight="1"/>
    <row r="22" spans="1:14" ht="25.5" customHeight="1">
      <c r="A22" s="20" t="s">
        <v>145</v>
      </c>
      <c r="B22" s="21"/>
      <c r="C22" s="22"/>
      <c r="D22" s="22"/>
      <c r="E22" s="22"/>
      <c r="F22" s="22"/>
      <c r="G22" s="23" t="s">
        <v>146</v>
      </c>
      <c r="H22" s="22"/>
      <c r="I22" s="22"/>
      <c r="J22" s="22"/>
      <c r="K22" s="22"/>
      <c r="L22" s="22"/>
      <c r="M22" s="22"/>
      <c r="N22" s="24"/>
    </row>
    <row r="23" spans="1:14" ht="25.5" customHeight="1">
      <c r="A23" s="25" t="s">
        <v>129</v>
      </c>
      <c r="G23" s="26"/>
      <c r="N23" s="27"/>
    </row>
    <row r="24" spans="1:14" s="19" customFormat="1" ht="28.5" customHeight="1">
      <c r="A24" s="28" t="str">
        <f>+IF(C17&gt;0,C16,"")</f>
        <v>ene</v>
      </c>
      <c r="B24" s="9"/>
      <c r="C24" s="29"/>
      <c r="D24" s="29"/>
      <c r="E24" s="29"/>
      <c r="F24" s="29"/>
      <c r="G24" s="30"/>
      <c r="H24" s="29"/>
      <c r="I24" s="29"/>
      <c r="J24" s="29"/>
      <c r="K24" s="29"/>
      <c r="L24" s="29"/>
      <c r="M24" s="29"/>
      <c r="N24" s="31"/>
    </row>
    <row r="25" spans="1:14" s="19" customFormat="1" ht="28.5" customHeight="1">
      <c r="A25" s="32" t="str">
        <f>+IF(D17&gt;0,D16,"")</f>
        <v>feb</v>
      </c>
      <c r="B25" s="33"/>
      <c r="C25" s="34"/>
      <c r="D25" s="34"/>
      <c r="E25" s="34"/>
      <c r="F25" s="34"/>
      <c r="G25" s="35"/>
      <c r="H25" s="34"/>
      <c r="I25" s="34"/>
      <c r="J25" s="34"/>
      <c r="K25" s="34"/>
      <c r="L25" s="34"/>
      <c r="M25" s="34"/>
      <c r="N25" s="36"/>
    </row>
    <row r="26" spans="1:14" s="19" customFormat="1" ht="28.5" customHeight="1">
      <c r="A26" s="32" t="str">
        <f>+IF(E17&gt;0,E16,"")</f>
        <v>mar</v>
      </c>
      <c r="B26" s="33"/>
      <c r="C26" s="34"/>
      <c r="D26" s="34"/>
      <c r="E26" s="34"/>
      <c r="F26" s="34"/>
      <c r="G26" s="35"/>
      <c r="H26" s="34"/>
      <c r="I26" s="34"/>
      <c r="J26" s="34"/>
      <c r="K26" s="34"/>
      <c r="L26" s="34"/>
      <c r="M26" s="34"/>
      <c r="N26" s="36"/>
    </row>
    <row r="27" spans="1:14" s="19" customFormat="1" ht="28.5" customHeight="1">
      <c r="A27" s="32" t="str">
        <f>+IF(F17&gt;0,F16,"")</f>
        <v>abr</v>
      </c>
      <c r="B27" s="748"/>
      <c r="C27" s="749"/>
      <c r="D27" s="749"/>
      <c r="E27" s="749"/>
      <c r="F27" s="750"/>
      <c r="G27" s="739"/>
      <c r="H27" s="740"/>
      <c r="I27" s="740"/>
      <c r="J27" s="740"/>
      <c r="K27" s="740"/>
      <c r="L27" s="740"/>
      <c r="M27" s="740"/>
      <c r="N27" s="741"/>
    </row>
    <row r="28" spans="1:14" s="19" customFormat="1" ht="28.5" customHeight="1">
      <c r="A28" s="32" t="str">
        <f>+IF(G17&gt;0,G16,"")</f>
        <v>may</v>
      </c>
      <c r="B28" s="33"/>
      <c r="C28" s="34"/>
      <c r="D28" s="34"/>
      <c r="E28" s="34"/>
      <c r="F28" s="34"/>
      <c r="G28" s="35"/>
      <c r="H28" s="34"/>
      <c r="I28" s="34"/>
      <c r="J28" s="34"/>
      <c r="K28" s="34"/>
      <c r="L28" s="34"/>
      <c r="M28" s="34"/>
      <c r="N28" s="36"/>
    </row>
    <row r="29" spans="1:14" s="19" customFormat="1" ht="34.5" customHeight="1">
      <c r="A29" s="32" t="str">
        <f>+IF(H17&gt;0,H16,"")</f>
        <v>jun</v>
      </c>
      <c r="B29" s="854"/>
      <c r="C29" s="800"/>
      <c r="D29" s="800"/>
      <c r="E29" s="800"/>
      <c r="F29" s="801"/>
      <c r="G29" s="37"/>
      <c r="H29" s="33"/>
      <c r="I29" s="33"/>
      <c r="J29" s="33"/>
      <c r="K29" s="33"/>
      <c r="L29" s="33"/>
      <c r="M29" s="33"/>
      <c r="N29" s="38"/>
    </row>
    <row r="30" spans="1:14" s="19" customFormat="1" ht="33.75" customHeight="1">
      <c r="A30" s="32" t="str">
        <f>+IF(I17&gt;0,I16,"")</f>
        <v>jul</v>
      </c>
      <c r="B30" s="854"/>
      <c r="C30" s="800"/>
      <c r="D30" s="800"/>
      <c r="E30" s="800"/>
      <c r="F30" s="801"/>
      <c r="G30" s="37"/>
      <c r="H30" s="33"/>
      <c r="I30" s="33"/>
      <c r="J30" s="33"/>
      <c r="K30" s="33"/>
      <c r="L30" s="33"/>
      <c r="M30" s="33"/>
      <c r="N30" s="38"/>
    </row>
    <row r="31" spans="1:14" s="19" customFormat="1" ht="28.5" customHeight="1">
      <c r="A31" s="32" t="str">
        <f>+IF(J17&gt;0,J16,"")</f>
        <v>ago</v>
      </c>
      <c r="B31" s="33"/>
      <c r="C31" s="33"/>
      <c r="D31" s="33"/>
      <c r="E31" s="33"/>
      <c r="F31" s="33"/>
      <c r="G31" s="799"/>
      <c r="H31" s="800"/>
      <c r="I31" s="800"/>
      <c r="J31" s="800"/>
      <c r="K31" s="800"/>
      <c r="L31" s="800"/>
      <c r="M31" s="800"/>
      <c r="N31" s="801"/>
    </row>
    <row r="32" spans="1:14" s="19" customFormat="1" ht="28.5" customHeight="1">
      <c r="A32" s="32" t="str">
        <f>+IF(K17&gt;0,K16,"")</f>
        <v>sep</v>
      </c>
      <c r="B32" s="33"/>
      <c r="C32" s="34"/>
      <c r="D32" s="34"/>
      <c r="E32" s="34"/>
      <c r="F32" s="34"/>
      <c r="G32" s="35"/>
      <c r="H32" s="34"/>
      <c r="I32" s="34"/>
      <c r="J32" s="34"/>
      <c r="K32" s="34"/>
      <c r="L32" s="34"/>
      <c r="M32" s="34"/>
      <c r="N32" s="36"/>
    </row>
    <row r="33" spans="1:14" s="19" customFormat="1" ht="28.5" customHeight="1">
      <c r="A33" s="32" t="str">
        <f>+IF(L17&gt;0,L16,"")</f>
        <v>oct</v>
      </c>
      <c r="B33" s="33"/>
      <c r="C33" s="34"/>
      <c r="D33" s="34"/>
      <c r="E33" s="34"/>
      <c r="F33" s="34"/>
      <c r="G33" s="35"/>
      <c r="H33" s="34"/>
      <c r="I33" s="34"/>
      <c r="J33" s="34"/>
      <c r="K33" s="34"/>
      <c r="L33" s="34"/>
      <c r="M33" s="34"/>
      <c r="N33" s="36"/>
    </row>
    <row r="34" spans="1:14" s="19" customFormat="1" ht="28.5" customHeight="1">
      <c r="A34" s="32" t="str">
        <f>+IF(M17&gt;0,M16,"")</f>
        <v>nov</v>
      </c>
      <c r="B34" s="33"/>
      <c r="C34" s="34"/>
      <c r="D34" s="34"/>
      <c r="E34" s="34"/>
      <c r="F34" s="34"/>
      <c r="G34" s="35"/>
      <c r="H34" s="34"/>
      <c r="I34" s="34"/>
      <c r="J34" s="34"/>
      <c r="K34" s="34"/>
      <c r="L34" s="34"/>
      <c r="M34" s="34"/>
      <c r="N34" s="36"/>
    </row>
    <row r="35" spans="1:14" s="19" customFormat="1" ht="32.25" customHeight="1">
      <c r="A35" s="39" t="str">
        <f>+IF(N17&gt;0,N16,"")</f>
        <v>dic</v>
      </c>
      <c r="B35" s="873"/>
      <c r="C35" s="874"/>
      <c r="D35" s="874"/>
      <c r="E35" s="874"/>
      <c r="F35" s="875"/>
      <c r="G35" s="876"/>
      <c r="H35" s="874"/>
      <c r="I35" s="874"/>
      <c r="J35" s="874"/>
      <c r="K35" s="874"/>
      <c r="L35" s="874"/>
      <c r="M35" s="874"/>
      <c r="N35" s="875"/>
    </row>
    <row r="37" spans="1:14" ht="17.25" thickBot="1"/>
    <row r="38" spans="1:14" ht="17.25" thickBot="1">
      <c r="B38" s="877" t="s">
        <v>151</v>
      </c>
      <c r="C38" s="878"/>
      <c r="D38" s="878"/>
      <c r="E38" s="879"/>
      <c r="H38" s="158" t="s">
        <v>350</v>
      </c>
      <c r="I38" s="159"/>
      <c r="J38" s="159"/>
      <c r="K38" s="160"/>
    </row>
    <row r="39" spans="1:14">
      <c r="B39" s="161" t="s">
        <v>173</v>
      </c>
      <c r="C39" s="848"/>
      <c r="D39" s="871"/>
      <c r="E39" s="872"/>
    </row>
    <row r="40" spans="1:14">
      <c r="B40" s="162" t="s">
        <v>351</v>
      </c>
      <c r="C40" s="163">
        <v>21</v>
      </c>
      <c r="D40" s="163"/>
      <c r="E40" s="164">
        <f>+C40/357</f>
        <v>5.8823529411764705E-2</v>
      </c>
    </row>
    <row r="41" spans="1:14">
      <c r="B41" s="162" t="s">
        <v>352</v>
      </c>
      <c r="C41" s="163">
        <v>93</v>
      </c>
      <c r="D41" s="163"/>
      <c r="E41" s="164">
        <f>+C41/357</f>
        <v>0.26050420168067229</v>
      </c>
    </row>
    <row r="42" spans="1:14">
      <c r="B42" s="161" t="s">
        <v>353</v>
      </c>
      <c r="C42" s="163">
        <v>140</v>
      </c>
      <c r="D42" s="163"/>
      <c r="E42" s="164">
        <f>+C42/357</f>
        <v>0.39215686274509803</v>
      </c>
    </row>
    <row r="43" spans="1:14" ht="17.25" thickBot="1">
      <c r="B43" s="165" t="s">
        <v>354</v>
      </c>
      <c r="C43" s="166">
        <v>103</v>
      </c>
      <c r="D43" s="166"/>
      <c r="E43" s="167">
        <f>+C43/357</f>
        <v>0.28851540616246496</v>
      </c>
    </row>
  </sheetData>
  <sheetProtection formatCells="0" formatColumns="0" formatRows="0"/>
  <mergeCells count="27">
    <mergeCell ref="C39:E39"/>
    <mergeCell ref="C14:N14"/>
    <mergeCell ref="C15:N15"/>
    <mergeCell ref="A18:B18"/>
    <mergeCell ref="B27:F27"/>
    <mergeCell ref="G27:N27"/>
    <mergeCell ref="B29:F29"/>
    <mergeCell ref="B30:F30"/>
    <mergeCell ref="G31:N31"/>
    <mergeCell ref="B35:F35"/>
    <mergeCell ref="G35:N35"/>
    <mergeCell ref="B38:E38"/>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s>
  <hyperlinks>
    <hyperlink ref="O5" location="'Matriz Sta Ana'!A1" display="Volver" xr:uid="{F6997577-DDF0-45AF-955F-7AF8695D0438}"/>
  </hyperlinks>
  <pageMargins left="0.7" right="0.7" top="0.75" bottom="0.75" header="0.3" footer="0.3"/>
  <pageSetup scale="70" fitToHeight="0" orientation="portrait" r:id="rId1"/>
  <rowBreaks count="1" manualBreakCount="1">
    <brk id="19" max="16383" man="1"/>
  </rowBreaks>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AA052-4A88-4307-8FC6-9A7CB0BE018E}">
  <sheetPr>
    <tabColor rgb="FF7030A0"/>
    <pageSetUpPr fitToPage="1"/>
  </sheetPr>
  <dimension ref="A1:O40"/>
  <sheetViews>
    <sheetView view="pageBreakPreview" topLeftCell="A28" zoomScaleNormal="100" zoomScaleSheetLayoutView="100" workbookViewId="0">
      <selection activeCell="I34" sqref="I34"/>
    </sheetView>
  </sheetViews>
  <sheetFormatPr baseColWidth="10" defaultColWidth="11.42578125" defaultRowHeight="16.5"/>
  <cols>
    <col min="1" max="1" width="17.5703125" style="5" customWidth="1"/>
    <col min="2" max="2" width="33.5703125" style="5" customWidth="1"/>
    <col min="3" max="3" width="9" style="4" customWidth="1"/>
    <col min="4" max="4" width="7.140625" style="4" customWidth="1"/>
    <col min="5" max="5" width="8.5703125" style="4" customWidth="1"/>
    <col min="6" max="6" width="7.140625" style="4" customWidth="1"/>
    <col min="7" max="7" width="9.5703125" style="4" customWidth="1"/>
    <col min="8" max="9" width="7.140625" style="4" customWidth="1"/>
    <col min="10" max="10" width="8.42578125" style="4" customWidth="1"/>
    <col min="11" max="11" width="8.5703125" style="4" customWidth="1"/>
    <col min="12" max="12" width="9.85546875" style="4" customWidth="1"/>
    <col min="13" max="13" width="8.85546875" style="4" customWidth="1"/>
    <col min="14" max="14" width="7.140625" style="4" customWidth="1"/>
    <col min="15"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0</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c r="O5" s="52" t="s">
        <v>120</v>
      </c>
    </row>
    <row r="6" spans="1:15" ht="20.25" customHeight="1">
      <c r="A6" s="256" t="s">
        <v>121</v>
      </c>
      <c r="B6" s="256"/>
      <c r="C6" s="887" t="s">
        <v>702</v>
      </c>
      <c r="D6" s="887"/>
      <c r="E6" s="887"/>
      <c r="F6" s="887"/>
      <c r="G6" s="887"/>
      <c r="H6" s="887"/>
      <c r="I6" s="887"/>
      <c r="J6" s="887"/>
      <c r="K6" s="887"/>
      <c r="L6" s="887"/>
      <c r="M6" s="887"/>
      <c r="N6" s="887"/>
    </row>
    <row r="7" spans="1:15" ht="18" customHeight="1">
      <c r="A7" s="256" t="s">
        <v>3</v>
      </c>
      <c r="B7" s="256"/>
      <c r="C7" s="888" t="s">
        <v>46</v>
      </c>
      <c r="D7" s="888"/>
      <c r="E7" s="888"/>
      <c r="F7" s="888"/>
      <c r="G7" s="888"/>
      <c r="H7" s="888"/>
      <c r="I7" s="888"/>
      <c r="J7" s="888"/>
      <c r="K7" s="888"/>
      <c r="L7" s="888"/>
      <c r="M7" s="888"/>
      <c r="N7" s="888"/>
    </row>
    <row r="8" spans="1:15">
      <c r="A8" s="256" t="s">
        <v>122</v>
      </c>
      <c r="B8" s="256"/>
      <c r="C8" s="257" t="s">
        <v>123</v>
      </c>
      <c r="D8" s="257"/>
      <c r="E8" s="257"/>
      <c r="F8" s="257"/>
      <c r="G8" s="257"/>
      <c r="H8" s="257"/>
      <c r="I8" s="257"/>
      <c r="J8" s="257"/>
      <c r="K8" s="257"/>
      <c r="L8" s="257"/>
      <c r="M8" s="257"/>
      <c r="N8" s="257"/>
    </row>
    <row r="9" spans="1:15" ht="19.5" customHeight="1">
      <c r="A9" s="256" t="s">
        <v>124</v>
      </c>
      <c r="B9" s="256"/>
      <c r="C9" s="889">
        <v>1</v>
      </c>
      <c r="D9" s="890"/>
      <c r="E9" s="890"/>
      <c r="F9" s="890"/>
      <c r="G9" s="890"/>
      <c r="H9" s="890"/>
      <c r="I9" s="890"/>
      <c r="J9" s="890"/>
      <c r="K9" s="890"/>
      <c r="L9" s="890"/>
      <c r="M9" s="890"/>
      <c r="N9" s="890"/>
    </row>
    <row r="10" spans="1:15">
      <c r="A10" s="256" t="s">
        <v>5</v>
      </c>
      <c r="B10" s="256"/>
      <c r="C10" s="258" t="s">
        <v>27</v>
      </c>
      <c r="D10" s="258"/>
      <c r="E10" s="258"/>
      <c r="F10" s="258"/>
      <c r="G10" s="258"/>
      <c r="H10" s="258"/>
      <c r="I10" s="258"/>
      <c r="J10" s="258"/>
      <c r="K10" s="258"/>
      <c r="L10" s="258"/>
      <c r="M10" s="258"/>
      <c r="N10" s="258"/>
    </row>
    <row r="11" spans="1:15">
      <c r="A11" s="256" t="s">
        <v>6</v>
      </c>
      <c r="B11" s="256"/>
      <c r="C11" s="258" t="s">
        <v>454</v>
      </c>
      <c r="D11" s="258"/>
      <c r="E11" s="258"/>
      <c r="F11" s="258"/>
      <c r="G11" s="258"/>
      <c r="H11" s="258"/>
      <c r="I11" s="258"/>
      <c r="J11" s="258"/>
      <c r="K11" s="258"/>
      <c r="L11" s="258"/>
      <c r="M11" s="258"/>
      <c r="N11" s="258"/>
    </row>
    <row r="12" spans="1:15" ht="17.25" customHeight="1">
      <c r="A12" s="256" t="s">
        <v>7</v>
      </c>
      <c r="B12" s="256"/>
      <c r="C12" s="888" t="s">
        <v>48</v>
      </c>
      <c r="D12" s="888"/>
      <c r="E12" s="888"/>
      <c r="F12" s="888"/>
      <c r="G12" s="888"/>
      <c r="H12" s="888"/>
      <c r="I12" s="888"/>
      <c r="J12" s="888"/>
      <c r="K12" s="888"/>
      <c r="L12" s="888"/>
      <c r="M12" s="888"/>
      <c r="N12" s="888"/>
    </row>
    <row r="13" spans="1:15" ht="30" customHeight="1">
      <c r="A13" s="891" t="s">
        <v>125</v>
      </c>
      <c r="B13" s="891"/>
      <c r="C13" s="888" t="s">
        <v>454</v>
      </c>
      <c r="D13" s="888"/>
      <c r="E13" s="888"/>
      <c r="F13" s="888"/>
      <c r="G13" s="888"/>
      <c r="H13" s="888"/>
      <c r="I13" s="888"/>
      <c r="J13" s="888"/>
      <c r="K13" s="888"/>
      <c r="L13" s="888"/>
      <c r="M13" s="888"/>
      <c r="N13" s="888"/>
    </row>
    <row r="14" spans="1:15" ht="20.25" customHeight="1">
      <c r="A14" s="256" t="s">
        <v>127</v>
      </c>
      <c r="B14" s="256"/>
      <c r="C14" s="888" t="s">
        <v>703</v>
      </c>
      <c r="D14" s="888"/>
      <c r="E14" s="888"/>
      <c r="F14" s="888"/>
      <c r="G14" s="888"/>
      <c r="H14" s="888"/>
      <c r="I14" s="888"/>
      <c r="J14" s="888"/>
      <c r="K14" s="888"/>
      <c r="L14" s="888"/>
      <c r="M14" s="888"/>
      <c r="N14" s="888"/>
    </row>
    <row r="15" spans="1:15" ht="20.25" customHeight="1">
      <c r="A15" s="256" t="s">
        <v>10</v>
      </c>
      <c r="B15" s="256"/>
      <c r="C15" s="895"/>
      <c r="D15" s="895"/>
      <c r="E15" s="895"/>
      <c r="F15" s="895"/>
      <c r="G15" s="895"/>
      <c r="H15" s="895"/>
      <c r="I15" s="895"/>
      <c r="J15" s="895"/>
      <c r="K15" s="895"/>
      <c r="L15" s="895"/>
      <c r="M15" s="895"/>
      <c r="N15" s="895"/>
      <c r="O15" s="4">
        <v>0</v>
      </c>
    </row>
    <row r="16" spans="1:15" ht="20.25" customHeight="1">
      <c r="A16" s="886" t="s">
        <v>443</v>
      </c>
      <c r="B16" s="886"/>
      <c r="C16" s="708"/>
      <c r="D16" s="709"/>
      <c r="E16" s="709"/>
      <c r="F16" s="709"/>
      <c r="G16" s="709"/>
      <c r="H16" s="709"/>
      <c r="I16" s="709"/>
      <c r="J16" s="709"/>
      <c r="K16" s="709"/>
      <c r="L16" s="709"/>
      <c r="M16" s="709"/>
      <c r="N16" s="709"/>
    </row>
    <row r="17" spans="1:15" ht="15" customHeight="1">
      <c r="A17" s="283"/>
      <c r="B17" s="283"/>
      <c r="C17" s="284"/>
      <c r="D17" s="284"/>
      <c r="E17" s="284"/>
      <c r="F17" s="284"/>
      <c r="G17" s="284"/>
      <c r="H17" s="284"/>
      <c r="I17" s="284"/>
      <c r="J17" s="256"/>
      <c r="K17" s="256"/>
      <c r="L17" s="256"/>
      <c r="M17" s="256"/>
      <c r="N17" s="256"/>
    </row>
    <row r="18" spans="1:15" ht="14.45" customHeight="1">
      <c r="A18" s="896" t="s">
        <v>129</v>
      </c>
      <c r="B18" s="896"/>
      <c r="C18" s="897" t="s">
        <v>358</v>
      </c>
      <c r="D18" s="897"/>
      <c r="E18" s="897"/>
      <c r="F18" s="897" t="s">
        <v>359</v>
      </c>
      <c r="G18" s="897"/>
      <c r="H18" s="897"/>
      <c r="I18" s="897" t="s">
        <v>360</v>
      </c>
      <c r="J18" s="897"/>
      <c r="K18" s="897"/>
      <c r="L18" s="897" t="s">
        <v>361</v>
      </c>
      <c r="M18" s="897"/>
      <c r="N18" s="897"/>
      <c r="O18" s="348"/>
    </row>
    <row r="19" spans="1:15" hidden="1">
      <c r="A19" s="841"/>
      <c r="B19" s="841"/>
      <c r="C19" s="169" t="s">
        <v>212</v>
      </c>
      <c r="D19" s="169" t="s">
        <v>213</v>
      </c>
      <c r="E19" s="169" t="s">
        <v>214</v>
      </c>
      <c r="F19" s="169" t="s">
        <v>215</v>
      </c>
      <c r="G19" s="169" t="s">
        <v>216</v>
      </c>
      <c r="H19" s="169" t="s">
        <v>217</v>
      </c>
      <c r="I19" s="169" t="s">
        <v>218</v>
      </c>
      <c r="J19" s="169" t="s">
        <v>219</v>
      </c>
      <c r="K19" s="169" t="s">
        <v>220</v>
      </c>
      <c r="L19" s="169" t="s">
        <v>221</v>
      </c>
      <c r="M19" s="169" t="s">
        <v>222</v>
      </c>
      <c r="N19" s="169" t="s">
        <v>223</v>
      </c>
    </row>
    <row r="20" spans="1:15">
      <c r="A20" s="163"/>
      <c r="B20" s="10" t="s">
        <v>129</v>
      </c>
      <c r="C20" s="571" t="s">
        <v>130</v>
      </c>
      <c r="D20" s="571" t="s">
        <v>131</v>
      </c>
      <c r="E20" s="571" t="s">
        <v>132</v>
      </c>
      <c r="F20" s="571" t="s">
        <v>133</v>
      </c>
      <c r="G20" s="571" t="s">
        <v>134</v>
      </c>
      <c r="H20" s="571" t="s">
        <v>135</v>
      </c>
      <c r="I20" s="169" t="s">
        <v>136</v>
      </c>
      <c r="J20" s="169" t="s">
        <v>137</v>
      </c>
      <c r="K20" s="169" t="s">
        <v>138</v>
      </c>
      <c r="L20" s="169" t="s">
        <v>139</v>
      </c>
      <c r="M20" s="169" t="s">
        <v>140</v>
      </c>
      <c r="N20" s="169" t="s">
        <v>141</v>
      </c>
    </row>
    <row r="21" spans="1:15">
      <c r="A21" s="4"/>
      <c r="B21" s="221"/>
      <c r="C21" s="285">
        <v>1</v>
      </c>
      <c r="D21" s="285">
        <v>2</v>
      </c>
      <c r="E21" s="285">
        <v>3</v>
      </c>
      <c r="F21" s="285">
        <v>4</v>
      </c>
      <c r="G21" s="285">
        <v>5</v>
      </c>
      <c r="H21" s="285">
        <v>6</v>
      </c>
      <c r="I21" s="285">
        <v>7</v>
      </c>
      <c r="J21" s="285">
        <v>8</v>
      </c>
      <c r="K21" s="285">
        <v>9</v>
      </c>
      <c r="L21" s="285">
        <v>10</v>
      </c>
      <c r="M21" s="285">
        <v>11</v>
      </c>
      <c r="N21" s="285">
        <v>12</v>
      </c>
    </row>
    <row r="22" spans="1:15" ht="24.75" customHeight="1">
      <c r="A22" s="898" t="s">
        <v>486</v>
      </c>
      <c r="B22" s="899"/>
      <c r="C22" s="892">
        <f>+C36</f>
        <v>1</v>
      </c>
      <c r="D22" s="893"/>
      <c r="E22" s="894"/>
      <c r="F22" s="892">
        <f>+F36</f>
        <v>1</v>
      </c>
      <c r="G22" s="893"/>
      <c r="H22" s="894"/>
      <c r="I22" s="892" t="e">
        <f>+I36</f>
        <v>#DIV/0!</v>
      </c>
      <c r="J22" s="893"/>
      <c r="K22" s="894"/>
      <c r="L22" s="892" t="e">
        <f>+L36</f>
        <v>#DIV/0!</v>
      </c>
      <c r="M22" s="893"/>
      <c r="N22" s="894"/>
    </row>
    <row r="23" spans="1:15" ht="21.75" customHeight="1">
      <c r="A23" s="170" t="s">
        <v>485</v>
      </c>
      <c r="B23" s="171"/>
      <c r="C23" s="880">
        <f>+IF(C22&gt;0.9,1,C22/0.9)</f>
        <v>1</v>
      </c>
      <c r="D23" s="881"/>
      <c r="E23" s="882"/>
      <c r="F23" s="880">
        <f>+IF(F22&gt;0.9,1,F22/0.9)</f>
        <v>1</v>
      </c>
      <c r="G23" s="881"/>
      <c r="H23" s="882"/>
      <c r="I23" s="880" t="e">
        <f>+IF(I22&gt;0.9,1,I22/0.9)</f>
        <v>#DIV/0!</v>
      </c>
      <c r="J23" s="881"/>
      <c r="K23" s="882"/>
      <c r="L23" s="880" t="e">
        <f>+IF(L22&gt;0.9,1,L22/0.9)</f>
        <v>#DIV/0!</v>
      </c>
      <c r="M23" s="881"/>
      <c r="N23" s="882"/>
    </row>
    <row r="24" spans="1:15" s="19" customFormat="1" ht="185.25" customHeight="1">
      <c r="A24" s="15" t="s">
        <v>144</v>
      </c>
      <c r="B24" s="16"/>
      <c r="C24" s="17"/>
      <c r="D24" s="17"/>
      <c r="E24" s="17"/>
      <c r="F24" s="17"/>
      <c r="G24" s="17"/>
      <c r="H24" s="17"/>
      <c r="I24" s="17"/>
      <c r="J24" s="17"/>
      <c r="K24" s="17"/>
      <c r="L24" s="17"/>
      <c r="M24" s="17"/>
      <c r="N24" s="18"/>
    </row>
    <row r="25" spans="1:15" ht="25.5" customHeight="1">
      <c r="A25" s="288" t="s">
        <v>467</v>
      </c>
      <c r="B25" s="883" t="s">
        <v>145</v>
      </c>
      <c r="C25" s="883"/>
      <c r="D25" s="883"/>
      <c r="E25" s="883"/>
      <c r="F25" s="883"/>
      <c r="G25" s="883" t="s">
        <v>146</v>
      </c>
      <c r="H25" s="883"/>
      <c r="I25" s="883"/>
      <c r="J25" s="883"/>
      <c r="K25" s="883"/>
      <c r="L25" s="883"/>
      <c r="M25" s="883"/>
      <c r="N25" s="883"/>
    </row>
    <row r="26" spans="1:15" s="19" customFormat="1" ht="28.5" customHeight="1">
      <c r="A26" s="289" t="s">
        <v>468</v>
      </c>
      <c r="B26" s="885" t="s">
        <v>664</v>
      </c>
      <c r="C26" s="885"/>
      <c r="D26" s="885"/>
      <c r="E26" s="885"/>
      <c r="F26" s="885"/>
      <c r="G26" s="884" t="s">
        <v>665</v>
      </c>
      <c r="H26" s="884"/>
      <c r="I26" s="884"/>
      <c r="J26" s="884"/>
      <c r="K26" s="884"/>
      <c r="L26" s="884"/>
      <c r="M26" s="884"/>
      <c r="N26" s="884"/>
    </row>
    <row r="27" spans="1:15" s="19" customFormat="1" ht="38.25" customHeight="1">
      <c r="A27" s="289" t="s">
        <v>464</v>
      </c>
      <c r="B27" s="885" t="s">
        <v>694</v>
      </c>
      <c r="C27" s="885"/>
      <c r="D27" s="885"/>
      <c r="E27" s="885"/>
      <c r="F27" s="885"/>
      <c r="G27" s="884" t="s">
        <v>695</v>
      </c>
      <c r="H27" s="884"/>
      <c r="I27" s="884"/>
      <c r="J27" s="884"/>
      <c r="K27" s="884"/>
      <c r="L27" s="884"/>
      <c r="M27" s="884"/>
      <c r="N27" s="884"/>
    </row>
    <row r="28" spans="1:15" s="19" customFormat="1" ht="33.75" customHeight="1">
      <c r="A28" s="289" t="s">
        <v>465</v>
      </c>
      <c r="B28" s="885"/>
      <c r="C28" s="885"/>
      <c r="D28" s="885"/>
      <c r="E28" s="885"/>
      <c r="F28" s="885"/>
      <c r="G28" s="884"/>
      <c r="H28" s="884"/>
      <c r="I28" s="884"/>
      <c r="J28" s="884"/>
      <c r="K28" s="884"/>
      <c r="L28" s="884"/>
      <c r="M28" s="884"/>
      <c r="N28" s="884"/>
    </row>
    <row r="29" spans="1:15" s="19" customFormat="1" ht="28.5" customHeight="1">
      <c r="A29" s="289" t="s">
        <v>466</v>
      </c>
      <c r="B29" s="885"/>
      <c r="C29" s="885"/>
      <c r="D29" s="885"/>
      <c r="E29" s="885"/>
      <c r="F29" s="885"/>
      <c r="G29" s="884"/>
      <c r="H29" s="884"/>
      <c r="I29" s="884"/>
      <c r="J29" s="884"/>
      <c r="K29" s="884"/>
      <c r="L29" s="884"/>
      <c r="M29" s="884"/>
      <c r="N29" s="884"/>
    </row>
    <row r="31" spans="1:15">
      <c r="B31" s="172" t="s">
        <v>362</v>
      </c>
      <c r="C31" s="540" t="s">
        <v>130</v>
      </c>
      <c r="D31" s="540" t="s">
        <v>131</v>
      </c>
      <c r="E31" s="540" t="s">
        <v>132</v>
      </c>
      <c r="F31" s="540" t="s">
        <v>133</v>
      </c>
      <c r="G31" s="540" t="s">
        <v>134</v>
      </c>
      <c r="H31" s="540" t="s">
        <v>135</v>
      </c>
      <c r="I31" s="540" t="s">
        <v>136</v>
      </c>
      <c r="J31" s="540" t="s">
        <v>137</v>
      </c>
      <c r="K31" s="540" t="s">
        <v>138</v>
      </c>
      <c r="L31" s="540" t="s">
        <v>139</v>
      </c>
      <c r="M31" s="540" t="s">
        <v>140</v>
      </c>
      <c r="N31" s="540" t="s">
        <v>141</v>
      </c>
    </row>
    <row r="32" spans="1:15">
      <c r="B32" s="173" t="s">
        <v>4</v>
      </c>
      <c r="C32" s="174">
        <v>1</v>
      </c>
      <c r="D32" s="174">
        <v>1</v>
      </c>
      <c r="E32" s="174">
        <v>1</v>
      </c>
      <c r="F32" s="174">
        <v>1</v>
      </c>
      <c r="G32" s="174">
        <v>1</v>
      </c>
      <c r="H32" s="174">
        <v>1</v>
      </c>
      <c r="I32" s="174">
        <v>1</v>
      </c>
      <c r="J32" s="174">
        <v>1</v>
      </c>
      <c r="K32" s="174">
        <v>1</v>
      </c>
      <c r="L32" s="174">
        <v>1</v>
      </c>
      <c r="M32" s="174">
        <v>1</v>
      </c>
      <c r="N32" s="174">
        <v>1</v>
      </c>
    </row>
    <row r="33" spans="2:14" ht="23.25" customHeight="1">
      <c r="B33" s="175" t="s">
        <v>364</v>
      </c>
      <c r="C33" s="557">
        <v>73</v>
      </c>
      <c r="D33" s="557">
        <v>73</v>
      </c>
      <c r="E33" s="557">
        <v>73</v>
      </c>
      <c r="F33" s="557">
        <v>73</v>
      </c>
      <c r="G33" s="557">
        <v>73</v>
      </c>
      <c r="H33" s="557">
        <v>73</v>
      </c>
      <c r="I33" s="557"/>
      <c r="J33" s="557"/>
      <c r="K33" s="557"/>
      <c r="L33" s="557"/>
      <c r="M33" s="557"/>
      <c r="N33" s="557"/>
    </row>
    <row r="34" spans="2:14" ht="24.75" customHeight="1">
      <c r="B34" s="175" t="s">
        <v>365</v>
      </c>
      <c r="C34" s="177">
        <v>73</v>
      </c>
      <c r="D34" s="177">
        <v>73</v>
      </c>
      <c r="E34" s="177">
        <v>73</v>
      </c>
      <c r="F34" s="177">
        <v>73</v>
      </c>
      <c r="G34" s="177">
        <v>73</v>
      </c>
      <c r="H34" s="177">
        <v>73</v>
      </c>
      <c r="I34" s="177"/>
      <c r="J34" s="177"/>
      <c r="K34" s="177"/>
      <c r="L34" s="177"/>
      <c r="M34" s="177"/>
      <c r="N34" s="177"/>
    </row>
    <row r="35" spans="2:14">
      <c r="B35" s="175" t="s">
        <v>366</v>
      </c>
      <c r="C35" s="279">
        <f>IFERROR(C34/C33,"")</f>
        <v>1</v>
      </c>
      <c r="D35" s="279">
        <f t="shared" ref="D35:N35" si="0">IFERROR(D34/D33,"")</f>
        <v>1</v>
      </c>
      <c r="E35" s="279">
        <f t="shared" si="0"/>
        <v>1</v>
      </c>
      <c r="F35" s="279">
        <f t="shared" si="0"/>
        <v>1</v>
      </c>
      <c r="G35" s="279">
        <f t="shared" si="0"/>
        <v>1</v>
      </c>
      <c r="H35" s="279">
        <f t="shared" si="0"/>
        <v>1</v>
      </c>
      <c r="I35" s="279" t="str">
        <f t="shared" si="0"/>
        <v/>
      </c>
      <c r="J35" s="279" t="str">
        <f t="shared" si="0"/>
        <v/>
      </c>
      <c r="K35" s="279" t="str">
        <f t="shared" si="0"/>
        <v/>
      </c>
      <c r="L35" s="279" t="str">
        <f t="shared" si="0"/>
        <v/>
      </c>
      <c r="M35" s="279" t="str">
        <f t="shared" si="0"/>
        <v/>
      </c>
      <c r="N35" s="279" t="str">
        <f t="shared" si="0"/>
        <v/>
      </c>
    </row>
    <row r="36" spans="2:14">
      <c r="C36" s="844">
        <f t="shared" ref="C36" si="1">SUM(C34:E34)/SUM(C33:E33)</f>
        <v>1</v>
      </c>
      <c r="D36" s="844"/>
      <c r="E36" s="844"/>
      <c r="F36" s="844">
        <f t="shared" ref="F36" si="2">SUM(F34:H34)/SUM(F33:H33)</f>
        <v>1</v>
      </c>
      <c r="G36" s="844"/>
      <c r="H36" s="844"/>
      <c r="I36" s="844" t="e">
        <f>SUM(I34:K34)/SUM(I33:K33)</f>
        <v>#DIV/0!</v>
      </c>
      <c r="J36" s="844"/>
      <c r="K36" s="844"/>
      <c r="L36" s="844" t="e">
        <f>SUM(L34:N34)/SUM(L33:N33)</f>
        <v>#DIV/0!</v>
      </c>
      <c r="M36" s="844"/>
      <c r="N36" s="844"/>
    </row>
    <row r="38" spans="2:14">
      <c r="C38" s="222" t="s">
        <v>375</v>
      </c>
      <c r="D38" s="222" t="s">
        <v>464</v>
      </c>
      <c r="E38" s="222" t="s">
        <v>465</v>
      </c>
      <c r="F38" s="222" t="s">
        <v>466</v>
      </c>
    </row>
    <row r="39" spans="2:14">
      <c r="B39" s="133" t="s">
        <v>45</v>
      </c>
      <c r="C39" s="287">
        <f>+C36</f>
        <v>1</v>
      </c>
      <c r="D39" s="287">
        <f>+F36</f>
        <v>1</v>
      </c>
      <c r="E39" s="287" t="e">
        <f>+I36</f>
        <v>#DIV/0!</v>
      </c>
      <c r="F39" s="287" t="e">
        <f>+L36</f>
        <v>#DIV/0!</v>
      </c>
    </row>
    <row r="40" spans="2:14">
      <c r="B40" s="133" t="s">
        <v>154</v>
      </c>
      <c r="C40" s="286">
        <f>+$C$9</f>
        <v>1</v>
      </c>
      <c r="D40" s="286">
        <f>+$C$9</f>
        <v>1</v>
      </c>
      <c r="E40" s="286">
        <f>+$C$9</f>
        <v>1</v>
      </c>
      <c r="F40" s="286">
        <f>+$C$9</f>
        <v>1</v>
      </c>
    </row>
  </sheetData>
  <sheetProtection formatCells="0" formatColumns="0" formatRows="0"/>
  <mergeCells count="48">
    <mergeCell ref="B28:F28"/>
    <mergeCell ref="C16:N16"/>
    <mergeCell ref="G28:N28"/>
    <mergeCell ref="L22:N22"/>
    <mergeCell ref="C14:N14"/>
    <mergeCell ref="C15:N15"/>
    <mergeCell ref="A18:B18"/>
    <mergeCell ref="C18:E18"/>
    <mergeCell ref="F18:H18"/>
    <mergeCell ref="I18:K18"/>
    <mergeCell ref="L18:N18"/>
    <mergeCell ref="A19:B19"/>
    <mergeCell ref="A22:B22"/>
    <mergeCell ref="C22:E22"/>
    <mergeCell ref="F22:H22"/>
    <mergeCell ref="I22:K22"/>
    <mergeCell ref="A16:B16"/>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 ref="F23:H23"/>
    <mergeCell ref="I23:K23"/>
    <mergeCell ref="L23:N23"/>
    <mergeCell ref="C23:E23"/>
    <mergeCell ref="C36:E36"/>
    <mergeCell ref="F36:H36"/>
    <mergeCell ref="I36:K36"/>
    <mergeCell ref="L36:N36"/>
    <mergeCell ref="B25:F25"/>
    <mergeCell ref="G25:N25"/>
    <mergeCell ref="G29:N29"/>
    <mergeCell ref="B29:F29"/>
    <mergeCell ref="B26:F26"/>
    <mergeCell ref="B27:F27"/>
    <mergeCell ref="G26:N26"/>
    <mergeCell ref="G27:N27"/>
  </mergeCells>
  <hyperlinks>
    <hyperlink ref="O5" location="'Matriz Sta Ana'!A1" display="Volver" xr:uid="{36DEE677-8CBB-45F0-9C09-0C9EF1425A4C}"/>
  </hyperlinks>
  <pageMargins left="0.7" right="0.7" top="0.75" bottom="0.75" header="0.3" footer="0.3"/>
  <pageSetup scale="60" fitToHeight="0" orientation="portrait" r:id="rId1"/>
  <rowBreaks count="1" manualBreakCount="1">
    <brk id="23" max="13" man="1"/>
  </row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500ABF-1358-401D-89D0-DA2B01D3B8A2}">
  <sheetPr>
    <tabColor rgb="FFFF0000"/>
  </sheetPr>
  <dimension ref="A1:N16"/>
  <sheetViews>
    <sheetView workbookViewId="0">
      <selection activeCell="D4" sqref="D4"/>
    </sheetView>
  </sheetViews>
  <sheetFormatPr baseColWidth="10" defaultColWidth="10.5703125" defaultRowHeight="15"/>
  <cols>
    <col min="1" max="1" width="29.42578125" customWidth="1"/>
    <col min="2" max="2" width="7.42578125" bestFit="1" customWidth="1"/>
    <col min="3" max="3" width="7.140625" bestFit="1" customWidth="1"/>
    <col min="4" max="4" width="8.5703125" bestFit="1" customWidth="1"/>
    <col min="5" max="5" width="7.140625" bestFit="1" customWidth="1"/>
    <col min="6" max="6" width="7.5703125" bestFit="1" customWidth="1"/>
    <col min="7" max="7" width="8.42578125" bestFit="1" customWidth="1"/>
    <col min="8" max="8" width="7.140625" bestFit="1" customWidth="1"/>
    <col min="9" max="9" width="7" bestFit="1" customWidth="1"/>
    <col min="10" max="10" width="7.5703125" customWidth="1"/>
    <col min="11" max="11" width="8.42578125" customWidth="1"/>
    <col min="12" max="12" width="7" bestFit="1" customWidth="1"/>
    <col min="13" max="13" width="10.5703125" customWidth="1"/>
    <col min="14" max="14" width="99.85546875" customWidth="1"/>
  </cols>
  <sheetData>
    <row r="1" spans="1:14">
      <c r="A1" s="227" t="s">
        <v>429</v>
      </c>
    </row>
    <row r="3" spans="1:14">
      <c r="A3" s="227" t="s">
        <v>430</v>
      </c>
      <c r="B3" s="230">
        <v>44197</v>
      </c>
      <c r="C3" s="230">
        <v>44228</v>
      </c>
      <c r="D3" s="230">
        <v>44256</v>
      </c>
      <c r="E3" s="230">
        <v>44287</v>
      </c>
      <c r="F3" s="230">
        <v>44317</v>
      </c>
      <c r="G3" s="230">
        <v>44348</v>
      </c>
      <c r="H3" s="230">
        <v>44378</v>
      </c>
      <c r="I3" s="230">
        <v>44409</v>
      </c>
      <c r="J3" s="230">
        <v>44440</v>
      </c>
      <c r="K3" s="230">
        <v>44470</v>
      </c>
      <c r="L3" s="230">
        <v>44501</v>
      </c>
      <c r="M3" s="230">
        <v>44531</v>
      </c>
    </row>
    <row r="4" spans="1:14" ht="82.5" customHeight="1">
      <c r="A4" s="226" t="str">
        <f>+'Matriz Sta Ana'!L34</f>
        <v>Cumplir con la disponibilidad del servicio</v>
      </c>
      <c r="B4" s="231">
        <f>+'Matriz Sta Ana'!Z3</f>
        <v>0.94743388501742154</v>
      </c>
      <c r="C4" s="231">
        <f>+'Matriz Sta Ana'!AA3</f>
        <v>0.94644926704128995</v>
      </c>
      <c r="D4" s="231">
        <f>+'Matriz Sta Ana'!AB3</f>
        <v>0.9499324119980167</v>
      </c>
      <c r="E4" s="231">
        <f>+'Matriz Sta Ana'!AC3</f>
        <v>0.95448046687076304</v>
      </c>
      <c r="F4" s="231">
        <f>+'Matriz Sta Ana'!AD3</f>
        <v>0.94982290664100089</v>
      </c>
      <c r="G4" s="231">
        <f>+'Matriz Sta Ana'!AE3</f>
        <v>0.95345707512764399</v>
      </c>
      <c r="H4" s="231">
        <f>+'Matriz Sta Ana'!AF3</f>
        <v>0.95679713114754095</v>
      </c>
      <c r="I4" s="231"/>
      <c r="J4" s="231"/>
      <c r="K4" s="231"/>
      <c r="L4" s="231"/>
      <c r="M4" s="231"/>
    </row>
    <row r="5" spans="1:14" ht="82.5" customHeight="1">
      <c r="A5" s="226" t="str">
        <f>+'Matriz Sta Ana'!L35</f>
        <v xml:space="preserve">Cumplir con los parámetros de calidad </v>
      </c>
      <c r="B5" s="228">
        <f>+'Matriz Sta Ana'!Z7</f>
        <v>1</v>
      </c>
      <c r="C5" s="228">
        <f>+'Matriz Sta Ana'!AA7</f>
        <v>1</v>
      </c>
      <c r="D5" s="228">
        <f>+'Matriz Sta Ana'!AB7</f>
        <v>1</v>
      </c>
      <c r="E5" s="228">
        <f>+'Matriz Sta Ana'!AC7</f>
        <v>1</v>
      </c>
      <c r="F5" s="228">
        <f>+'Matriz Sta Ana'!AD7</f>
        <v>1</v>
      </c>
      <c r="G5" s="228">
        <f>+'Matriz Sta Ana'!AE7</f>
        <v>1</v>
      </c>
      <c r="H5" s="228">
        <f>+'Matriz Sta Ana'!AF7</f>
        <v>1</v>
      </c>
      <c r="I5" s="228"/>
      <c r="J5" s="228"/>
      <c r="K5" s="228"/>
      <c r="L5" s="228"/>
      <c r="M5" s="228"/>
    </row>
    <row r="6" spans="1:14" ht="82.5" customHeight="1">
      <c r="A6" s="226" t="s">
        <v>712</v>
      </c>
      <c r="B6" s="628"/>
      <c r="C6" s="628"/>
      <c r="D6" s="628">
        <f>+'Matriz Sta Ana'!AB10</f>
        <v>1</v>
      </c>
      <c r="E6" s="628"/>
      <c r="F6" s="628"/>
      <c r="G6" s="628">
        <f>+'Matriz Sta Ana'!AE10</f>
        <v>1</v>
      </c>
      <c r="H6" s="628"/>
      <c r="I6" s="628"/>
      <c r="J6" s="628"/>
      <c r="K6" s="628"/>
      <c r="L6" s="628"/>
      <c r="M6" s="628"/>
    </row>
    <row r="7" spans="1:14" ht="82.5" customHeight="1">
      <c r="A7" s="226" t="str">
        <f>+'Matriz Sta Ana'!L37</f>
        <v>Contar con recursos humanos competentes</v>
      </c>
      <c r="B7" s="228"/>
      <c r="C7" s="228"/>
      <c r="D7" s="228">
        <f>+'Matriz Sta Ana'!AB11</f>
        <v>1</v>
      </c>
      <c r="E7" s="228"/>
      <c r="F7" s="228"/>
      <c r="G7" s="228">
        <f>+'Matriz Sta Ana'!AE11</f>
        <v>0.88768115942028991</v>
      </c>
      <c r="H7" s="228"/>
      <c r="I7" s="228"/>
      <c r="J7" s="228"/>
      <c r="K7" s="228"/>
      <c r="L7" s="228"/>
      <c r="M7" s="228"/>
    </row>
    <row r="8" spans="1:14" ht="82.5" customHeight="1">
      <c r="A8" s="226" t="str">
        <f>+'Matriz Sta Ana'!L38</f>
        <v>Gestionar proveedores</v>
      </c>
      <c r="B8" s="228"/>
      <c r="C8" s="228"/>
      <c r="D8" s="228">
        <f>+'Matriz Sta Ana'!AB13</f>
        <v>0.91</v>
      </c>
      <c r="E8" s="228"/>
      <c r="F8" s="228"/>
      <c r="G8" s="228">
        <f>+'Matriz Sta Ana'!AE13</f>
        <v>0.97</v>
      </c>
      <c r="H8" s="228"/>
      <c r="I8" s="228"/>
      <c r="J8" s="228"/>
      <c r="K8" s="228"/>
      <c r="L8" s="228"/>
      <c r="M8" s="228"/>
    </row>
    <row r="9" spans="1:14" ht="82.5" customHeight="1">
      <c r="A9" s="226" t="str">
        <f>+'Matriz Sta Ana'!L39</f>
        <v>Brindar servicios satisfactorios para los usuarios</v>
      </c>
      <c r="B9" s="228">
        <f>+'Matriz Sta Ana'!Z14</f>
        <v>0.9662281550060392</v>
      </c>
      <c r="C9" s="228">
        <f>+'Matriz Sta Ana'!AA14</f>
        <v>0.96516952290252578</v>
      </c>
      <c r="D9" s="228">
        <f>+'Matriz Sta Ana'!AB14</f>
        <v>0.97220271960579985</v>
      </c>
      <c r="E9" s="228">
        <f>+'Matriz Sta Ana'!AC14</f>
        <v>0.97183884518264707</v>
      </c>
      <c r="F9" s="228">
        <f>+'Matriz Sta Ana'!AD14</f>
        <v>0.97369024523181302</v>
      </c>
      <c r="G9" s="228">
        <f>+'Matriz Sta Ana'!AE14</f>
        <v>0.96763290433910731</v>
      </c>
      <c r="H9" s="228">
        <f>+'Matriz Sta Ana'!AF14</f>
        <v>0.97083534154880446</v>
      </c>
      <c r="I9" s="228"/>
      <c r="J9" s="228"/>
      <c r="K9" s="228"/>
      <c r="L9" s="228"/>
      <c r="M9" s="228"/>
    </row>
    <row r="10" spans="1:14" ht="82.5" customHeight="1">
      <c r="A10" s="226" t="str">
        <f>+'Matriz Sta Ana'!L40</f>
        <v>Identificar los peligros evaluar y valorar los riesgos y establecer los controles</v>
      </c>
      <c r="B10" s="228">
        <f>+'Matriz Sta Ana'!Z20</f>
        <v>0.79333333333333333</v>
      </c>
      <c r="C10" s="228">
        <f>+'Matriz Sta Ana'!AA20</f>
        <v>0.82333333333333325</v>
      </c>
      <c r="D10" s="228">
        <f>+'Matriz Sta Ana'!AB20</f>
        <v>0.97000000000000008</v>
      </c>
      <c r="E10" s="228">
        <f>+'Matriz Sta Ana'!AC20</f>
        <v>0.81</v>
      </c>
      <c r="F10" s="228">
        <f>+'Matriz Sta Ana'!AD20</f>
        <v>1</v>
      </c>
      <c r="G10" s="228">
        <f>+'Matriz Sta Ana'!AE20</f>
        <v>1</v>
      </c>
      <c r="H10" s="228">
        <f>+'Matriz Sta Ana'!AF20</f>
        <v>1</v>
      </c>
      <c r="I10" s="228"/>
      <c r="J10" s="228"/>
      <c r="K10" s="228"/>
      <c r="L10" s="228"/>
      <c r="M10" s="228"/>
    </row>
    <row r="11" spans="1:14" ht="82.5" customHeight="1">
      <c r="A11" s="226" t="str">
        <f>+'Matriz Sta Ana'!L41</f>
        <v>Promover el bienestar, la salud y seguridad de sus trabajadores y contratista.</v>
      </c>
      <c r="B11" s="228">
        <f>+'Matriz Sta Ana'!Z23</f>
        <v>1</v>
      </c>
      <c r="C11" s="228">
        <f>+'Matriz Sta Ana'!AA23</f>
        <v>1</v>
      </c>
      <c r="D11" s="228">
        <f>+'Matriz Sta Ana'!AB23</f>
        <v>1</v>
      </c>
      <c r="E11" s="228">
        <f>+'Matriz Sta Ana'!AC23</f>
        <v>1</v>
      </c>
      <c r="F11" s="228">
        <f>+'Matriz Sta Ana'!AD23</f>
        <v>1</v>
      </c>
      <c r="G11" s="228">
        <f>+'Matriz Sta Ana'!AE23</f>
        <v>1</v>
      </c>
      <c r="H11" s="228">
        <f>+'Matriz Sta Ana'!AF23</f>
        <v>1</v>
      </c>
      <c r="I11" s="228"/>
      <c r="J11" s="228"/>
      <c r="K11" s="228"/>
      <c r="L11" s="228"/>
      <c r="M11" s="228"/>
    </row>
    <row r="12" spans="1:14">
      <c r="B12" s="228"/>
      <c r="C12" s="228"/>
      <c r="D12" s="228"/>
      <c r="E12" s="228"/>
      <c r="F12" s="228"/>
      <c r="G12" s="228"/>
      <c r="H12" s="228"/>
      <c r="I12" s="228"/>
      <c r="J12" s="228"/>
      <c r="K12" s="228"/>
      <c r="L12" s="228"/>
    </row>
    <row r="13" spans="1:14">
      <c r="A13" s="229" t="s">
        <v>429</v>
      </c>
      <c r="B13" s="228">
        <f>+AVERAGE(B4:B11)</f>
        <v>0.94139907467135875</v>
      </c>
      <c r="C13" s="228">
        <f t="shared" ref="C13:H13" si="0">+AVERAGE(C4:C11)</f>
        <v>0.94699042465542971</v>
      </c>
      <c r="D13" s="228">
        <f t="shared" si="0"/>
        <v>0.97526689145047707</v>
      </c>
      <c r="E13" s="228">
        <f t="shared" si="0"/>
        <v>0.94726386241068217</v>
      </c>
      <c r="F13" s="228">
        <f t="shared" si="0"/>
        <v>0.98470263037456274</v>
      </c>
      <c r="G13" s="228">
        <f t="shared" si="0"/>
        <v>0.97234639236088016</v>
      </c>
      <c r="H13" s="228">
        <f t="shared" si="0"/>
        <v>0.98552649453926899</v>
      </c>
      <c r="I13" s="228"/>
      <c r="J13" s="228"/>
      <c r="K13" s="228"/>
      <c r="L13" s="228"/>
      <c r="M13" s="228"/>
    </row>
    <row r="14" spans="1:14">
      <c r="B14" s="228"/>
      <c r="C14" s="228"/>
      <c r="D14" s="228"/>
      <c r="E14" s="228"/>
      <c r="F14" s="228"/>
      <c r="G14" s="228"/>
      <c r="H14" s="228"/>
      <c r="I14" s="228"/>
      <c r="J14" s="228"/>
      <c r="K14" s="228"/>
      <c r="L14" s="228"/>
      <c r="M14" s="228"/>
    </row>
    <row r="15" spans="1:14">
      <c r="C15" s="228"/>
      <c r="D15" s="228"/>
      <c r="E15" s="228"/>
      <c r="F15" s="228"/>
      <c r="G15" s="228"/>
      <c r="H15" s="228"/>
      <c r="I15" s="228"/>
      <c r="J15" s="228"/>
      <c r="K15" s="228"/>
      <c r="L15" s="228"/>
      <c r="M15" s="228"/>
      <c r="N15" s="318" t="s">
        <v>480</v>
      </c>
    </row>
    <row r="16" spans="1:14">
      <c r="N16" s="319">
        <f>AVERAGE(B13:K13)</f>
        <v>0.96478511006609413</v>
      </c>
    </row>
  </sheetData>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A97AF-F01C-4176-BE67-7D7F5D8C2834}">
  <sheetPr>
    <tabColor rgb="FF92D050"/>
    <pageSetUpPr fitToPage="1"/>
  </sheetPr>
  <dimension ref="A1:P58"/>
  <sheetViews>
    <sheetView tabSelected="1" view="pageBreakPreview" topLeftCell="A26" zoomScaleNormal="100" zoomScaleSheetLayoutView="100" workbookViewId="0">
      <selection activeCell="G32" sqref="G32:N32"/>
    </sheetView>
  </sheetViews>
  <sheetFormatPr baseColWidth="10" defaultColWidth="0" defaultRowHeight="16.5"/>
  <cols>
    <col min="1" max="1" width="7.42578125" style="5" customWidth="1"/>
    <col min="2" max="2" width="33.5703125" style="5" customWidth="1"/>
    <col min="3" max="3" width="8.42578125" style="4" customWidth="1"/>
    <col min="4" max="5" width="7.140625" style="4" customWidth="1"/>
    <col min="6" max="6" width="9.42578125" style="4" customWidth="1"/>
    <col min="7" max="8" width="7.140625" style="4" customWidth="1"/>
    <col min="9" max="9" width="7.5703125" style="4" customWidth="1"/>
    <col min="10" max="10" width="8.140625" style="4" customWidth="1"/>
    <col min="11" max="13" width="7.140625" style="4" customWidth="1"/>
    <col min="14" max="14" width="8.140625" style="4" customWidth="1"/>
    <col min="15" max="15" width="9.5703125" style="4" customWidth="1"/>
    <col min="16" max="16" width="11.42578125" style="4" customWidth="1"/>
    <col min="17" max="16384" width="11.42578125" style="4" hidden="1"/>
  </cols>
  <sheetData>
    <row r="1" spans="1:16" ht="21.75" customHeight="1">
      <c r="A1" s="719" t="s">
        <v>113</v>
      </c>
      <c r="B1" s="720"/>
      <c r="C1" s="720"/>
      <c r="D1" s="720"/>
      <c r="E1" s="720"/>
      <c r="F1" s="720"/>
      <c r="G1" s="720"/>
      <c r="H1" s="720"/>
      <c r="I1" s="720"/>
      <c r="J1" s="721"/>
      <c r="K1" s="728" t="s">
        <v>114</v>
      </c>
      <c r="L1" s="729"/>
      <c r="M1" s="728"/>
      <c r="N1" s="729"/>
    </row>
    <row r="2" spans="1:16" ht="21.75" customHeight="1">
      <c r="A2" s="722"/>
      <c r="B2" s="723"/>
      <c r="C2" s="723"/>
      <c r="D2" s="723"/>
      <c r="E2" s="723"/>
      <c r="F2" s="723"/>
      <c r="G2" s="723"/>
      <c r="H2" s="723"/>
      <c r="I2" s="723"/>
      <c r="J2" s="724"/>
      <c r="K2" s="728" t="s">
        <v>115</v>
      </c>
      <c r="L2" s="729"/>
      <c r="M2" s="728">
        <v>0</v>
      </c>
      <c r="N2" s="729"/>
    </row>
    <row r="3" spans="1:16" ht="21.75" customHeight="1">
      <c r="A3" s="722"/>
      <c r="B3" s="723"/>
      <c r="C3" s="723"/>
      <c r="D3" s="723"/>
      <c r="E3" s="723"/>
      <c r="F3" s="723"/>
      <c r="G3" s="723"/>
      <c r="H3" s="723"/>
      <c r="I3" s="723"/>
      <c r="J3" s="724"/>
      <c r="K3" s="728" t="s">
        <v>116</v>
      </c>
      <c r="L3" s="729"/>
      <c r="M3" s="732">
        <v>43464</v>
      </c>
      <c r="N3" s="733"/>
    </row>
    <row r="4" spans="1:16" ht="21.75" customHeight="1">
      <c r="A4" s="725"/>
      <c r="B4" s="726"/>
      <c r="C4" s="726"/>
      <c r="D4" s="726"/>
      <c r="E4" s="726"/>
      <c r="F4" s="726"/>
      <c r="G4" s="726"/>
      <c r="H4" s="726"/>
      <c r="I4" s="726"/>
      <c r="J4" s="727"/>
      <c r="K4" s="728" t="s">
        <v>117</v>
      </c>
      <c r="L4" s="729"/>
      <c r="M4" s="732" t="s">
        <v>118</v>
      </c>
      <c r="N4" s="733"/>
    </row>
    <row r="5" spans="1:16" ht="18.75" customHeight="1">
      <c r="M5" s="6"/>
      <c r="N5" s="7" t="s">
        <v>119</v>
      </c>
      <c r="O5" s="168"/>
      <c r="P5" s="190" t="s">
        <v>380</v>
      </c>
    </row>
    <row r="6" spans="1:16" ht="18.75" customHeight="1">
      <c r="A6" s="256" t="s">
        <v>121</v>
      </c>
      <c r="B6" s="256"/>
      <c r="C6" s="887" t="s">
        <v>687</v>
      </c>
      <c r="D6" s="887"/>
      <c r="E6" s="887"/>
      <c r="F6" s="887"/>
      <c r="G6" s="887"/>
      <c r="H6" s="887"/>
      <c r="I6" s="887"/>
      <c r="J6" s="887"/>
      <c r="K6" s="887"/>
      <c r="L6" s="887"/>
      <c r="M6" s="887"/>
      <c r="N6" s="887"/>
    </row>
    <row r="7" spans="1:16" ht="20.25" customHeight="1">
      <c r="A7" s="256" t="s">
        <v>3</v>
      </c>
      <c r="B7" s="256"/>
      <c r="C7" s="888" t="s">
        <v>448</v>
      </c>
      <c r="D7" s="888"/>
      <c r="E7" s="888"/>
      <c r="F7" s="888"/>
      <c r="G7" s="888"/>
      <c r="H7" s="888"/>
      <c r="I7" s="888"/>
      <c r="J7" s="888"/>
      <c r="K7" s="888"/>
      <c r="L7" s="888"/>
      <c r="M7" s="888"/>
      <c r="N7" s="888"/>
    </row>
    <row r="8" spans="1:16">
      <c r="A8" s="256" t="s">
        <v>122</v>
      </c>
      <c r="B8" s="256"/>
      <c r="C8" s="905" t="s">
        <v>296</v>
      </c>
      <c r="D8" s="905"/>
      <c r="E8" s="905"/>
      <c r="F8" s="905"/>
      <c r="G8" s="905"/>
      <c r="H8" s="905"/>
      <c r="I8" s="905"/>
      <c r="J8" s="905"/>
      <c r="K8" s="257"/>
      <c r="L8" s="257"/>
      <c r="M8" s="257"/>
      <c r="N8" s="257"/>
    </row>
    <row r="9" spans="1:16" ht="15.75" customHeight="1">
      <c r="A9" s="256" t="s">
        <v>124</v>
      </c>
      <c r="B9" s="256"/>
      <c r="C9" s="889" t="s">
        <v>381</v>
      </c>
      <c r="D9" s="889"/>
      <c r="E9" s="889"/>
      <c r="F9" s="889"/>
      <c r="G9" s="889"/>
      <c r="H9" s="889"/>
      <c r="I9" s="889"/>
      <c r="J9" s="889"/>
      <c r="K9" s="259"/>
      <c r="L9" s="259"/>
      <c r="M9" s="259"/>
      <c r="N9" s="259"/>
    </row>
    <row r="10" spans="1:16">
      <c r="A10" s="256" t="s">
        <v>5</v>
      </c>
      <c r="B10" s="256"/>
      <c r="C10" s="905" t="s">
        <v>15</v>
      </c>
      <c r="D10" s="905"/>
      <c r="E10" s="905"/>
      <c r="F10" s="905"/>
      <c r="G10" s="905"/>
      <c r="H10" s="905"/>
      <c r="I10" s="905"/>
      <c r="J10" s="258"/>
      <c r="K10" s="258"/>
      <c r="L10" s="258"/>
      <c r="M10" s="258"/>
      <c r="N10" s="258"/>
    </row>
    <row r="11" spans="1:16">
      <c r="A11" s="256" t="s">
        <v>6</v>
      </c>
      <c r="B11" s="256"/>
      <c r="C11" s="905" t="s">
        <v>382</v>
      </c>
      <c r="D11" s="905"/>
      <c r="E11" s="905"/>
      <c r="F11" s="905"/>
      <c r="G11" s="905"/>
      <c r="H11" s="905"/>
      <c r="I11" s="905"/>
      <c r="J11" s="258"/>
      <c r="K11" s="258"/>
      <c r="L11" s="258"/>
      <c r="M11" s="258"/>
      <c r="N11" s="258"/>
    </row>
    <row r="12" spans="1:16" ht="18" customHeight="1">
      <c r="A12" s="256" t="s">
        <v>7</v>
      </c>
      <c r="B12" s="256"/>
      <c r="C12" s="890" t="s">
        <v>449</v>
      </c>
      <c r="D12" s="890"/>
      <c r="E12" s="890"/>
      <c r="F12" s="890"/>
      <c r="G12" s="890"/>
      <c r="H12" s="890"/>
      <c r="I12" s="890"/>
      <c r="J12" s="259"/>
      <c r="K12" s="259"/>
      <c r="L12" s="259"/>
      <c r="M12" s="259"/>
      <c r="N12" s="259"/>
    </row>
    <row r="13" spans="1:16" ht="30" customHeight="1">
      <c r="A13" s="891" t="s">
        <v>125</v>
      </c>
      <c r="B13" s="891"/>
      <c r="C13" s="910" t="s">
        <v>65</v>
      </c>
      <c r="D13" s="910"/>
      <c r="E13" s="910"/>
      <c r="F13" s="910"/>
      <c r="G13" s="910"/>
      <c r="H13" s="910"/>
      <c r="I13" s="910"/>
      <c r="J13" s="910"/>
      <c r="K13" s="910"/>
      <c r="L13" s="910"/>
      <c r="M13" s="910"/>
      <c r="N13" s="910"/>
    </row>
    <row r="14" spans="1:16" ht="19.5" customHeight="1">
      <c r="A14" s="256" t="s">
        <v>127</v>
      </c>
      <c r="B14" s="256"/>
      <c r="C14" s="888" t="s">
        <v>732</v>
      </c>
      <c r="D14" s="888"/>
      <c r="E14" s="888"/>
      <c r="F14" s="888"/>
      <c r="G14" s="888"/>
      <c r="H14" s="888"/>
      <c r="I14" s="888"/>
      <c r="J14" s="888"/>
      <c r="K14" s="888"/>
      <c r="L14" s="888"/>
      <c r="M14" s="888"/>
      <c r="N14" s="888"/>
    </row>
    <row r="15" spans="1:16" ht="20.25" customHeight="1">
      <c r="A15" s="256" t="s">
        <v>10</v>
      </c>
      <c r="B15" s="256"/>
      <c r="C15" s="895" t="s">
        <v>383</v>
      </c>
      <c r="D15" s="895"/>
      <c r="E15" s="895"/>
      <c r="F15" s="895"/>
      <c r="G15" s="895"/>
      <c r="H15" s="895"/>
      <c r="I15" s="895"/>
      <c r="J15" s="895"/>
      <c r="K15" s="895"/>
      <c r="L15" s="895"/>
      <c r="M15" s="895"/>
      <c r="N15" s="895"/>
    </row>
    <row r="16" spans="1:16" ht="20.25" customHeight="1">
      <c r="A16" s="886" t="s">
        <v>443</v>
      </c>
      <c r="B16" s="886"/>
      <c r="C16" s="708"/>
      <c r="D16" s="709"/>
      <c r="E16" s="709"/>
      <c r="F16" s="709"/>
      <c r="G16" s="709"/>
      <c r="H16" s="709"/>
      <c r="I16" s="709"/>
      <c r="J16" s="709"/>
      <c r="K16" s="709"/>
      <c r="L16" s="709"/>
      <c r="M16" s="709"/>
      <c r="N16" s="709"/>
    </row>
    <row r="17" spans="1:14" ht="15" customHeight="1">
      <c r="A17" s="283"/>
      <c r="B17" s="283"/>
      <c r="C17" s="284"/>
      <c r="D17" s="284"/>
      <c r="E17" s="284"/>
      <c r="F17" s="284"/>
      <c r="G17" s="284"/>
      <c r="H17" s="284"/>
      <c r="I17" s="284"/>
      <c r="J17" s="256"/>
      <c r="K17" s="256"/>
      <c r="L17" s="256"/>
      <c r="M17" s="256"/>
      <c r="N17" s="256"/>
    </row>
    <row r="18" spans="1:14">
      <c r="A18" s="906" t="s">
        <v>129</v>
      </c>
      <c r="B18" s="907"/>
      <c r="C18" s="266" t="s">
        <v>130</v>
      </c>
      <c r="D18" s="266" t="s">
        <v>131</v>
      </c>
      <c r="E18" s="266" t="s">
        <v>132</v>
      </c>
      <c r="F18" s="266" t="s">
        <v>133</v>
      </c>
      <c r="G18" s="266" t="s">
        <v>134</v>
      </c>
      <c r="H18" s="266" t="s">
        <v>135</v>
      </c>
      <c r="I18" s="266" t="s">
        <v>136</v>
      </c>
      <c r="J18" s="266" t="s">
        <v>137</v>
      </c>
      <c r="K18" s="266" t="s">
        <v>138</v>
      </c>
      <c r="L18" s="266" t="s">
        <v>139</v>
      </c>
      <c r="M18" s="266" t="s">
        <v>140</v>
      </c>
      <c r="N18" s="266" t="s">
        <v>141</v>
      </c>
    </row>
    <row r="19" spans="1:14">
      <c r="A19" s="871"/>
      <c r="B19" s="849"/>
      <c r="C19" s="11">
        <v>1</v>
      </c>
      <c r="D19" s="11">
        <v>2</v>
      </c>
      <c r="E19" s="11">
        <v>3</v>
      </c>
      <c r="F19" s="11">
        <v>4</v>
      </c>
      <c r="G19" s="11">
        <v>5</v>
      </c>
      <c r="H19" s="11">
        <v>6</v>
      </c>
      <c r="I19" s="11">
        <v>7</v>
      </c>
      <c r="J19" s="11">
        <v>8</v>
      </c>
      <c r="K19" s="11">
        <v>9</v>
      </c>
      <c r="L19" s="11">
        <v>10</v>
      </c>
      <c r="M19" s="11">
        <v>11</v>
      </c>
      <c r="N19" s="11">
        <v>12</v>
      </c>
    </row>
    <row r="20" spans="1:14" ht="36" customHeight="1">
      <c r="A20" s="702" t="s">
        <v>486</v>
      </c>
      <c r="B20" s="758"/>
      <c r="C20" s="290">
        <f>+C43</f>
        <v>1</v>
      </c>
      <c r="D20" s="290">
        <f>+D43</f>
        <v>1</v>
      </c>
      <c r="E20" s="290">
        <f>+E43</f>
        <v>1</v>
      </c>
      <c r="F20" s="290">
        <f t="shared" ref="F20:M20" si="0">+F43</f>
        <v>1</v>
      </c>
      <c r="G20" s="290">
        <f t="shared" si="0"/>
        <v>1</v>
      </c>
      <c r="H20" s="290">
        <f t="shared" si="0"/>
        <v>1</v>
      </c>
      <c r="I20" s="290">
        <f t="shared" si="0"/>
        <v>1</v>
      </c>
      <c r="J20" s="290">
        <f t="shared" si="0"/>
        <v>0.92307692307692313</v>
      </c>
      <c r="K20" s="290">
        <f t="shared" si="0"/>
        <v>1</v>
      </c>
      <c r="L20" s="290" t="str">
        <f t="shared" si="0"/>
        <v/>
      </c>
      <c r="M20" s="290" t="str">
        <f t="shared" si="0"/>
        <v/>
      </c>
      <c r="N20" s="290" t="str">
        <f>+N43</f>
        <v/>
      </c>
    </row>
    <row r="21" spans="1:14" ht="33" customHeight="1">
      <c r="A21" s="912" t="s">
        <v>485</v>
      </c>
      <c r="B21" s="913"/>
      <c r="C21" s="202">
        <v>1</v>
      </c>
      <c r="D21" s="202">
        <v>1</v>
      </c>
      <c r="E21" s="202">
        <v>1</v>
      </c>
      <c r="F21" s="202">
        <v>1</v>
      </c>
      <c r="G21" s="202">
        <v>1</v>
      </c>
      <c r="H21" s="202">
        <v>1</v>
      </c>
      <c r="I21" s="202">
        <v>1</v>
      </c>
      <c r="J21" s="202">
        <v>1</v>
      </c>
      <c r="K21" s="202">
        <v>1</v>
      </c>
      <c r="L21" s="202"/>
      <c r="M21" s="202"/>
      <c r="N21" s="202"/>
    </row>
    <row r="22" spans="1:14" s="19" customFormat="1" ht="195" customHeight="1">
      <c r="A22" s="267" t="s">
        <v>144</v>
      </c>
      <c r="B22" s="16"/>
      <c r="C22" s="17"/>
      <c r="D22" s="17"/>
      <c r="E22" s="17"/>
      <c r="F22" s="17"/>
      <c r="G22" s="17"/>
      <c r="H22" s="17"/>
      <c r="I22" s="17"/>
      <c r="J22" s="17"/>
      <c r="K22" s="17"/>
      <c r="L22" s="17"/>
      <c r="M22" s="17"/>
      <c r="N22" s="18"/>
    </row>
    <row r="23" spans="1:14" ht="25.5" customHeight="1">
      <c r="A23" s="558" t="s">
        <v>667</v>
      </c>
      <c r="B23" s="908" t="s">
        <v>373</v>
      </c>
      <c r="C23" s="908"/>
      <c r="D23" s="908"/>
      <c r="E23" s="908"/>
      <c r="F23" s="909"/>
      <c r="G23" s="911" t="s">
        <v>146</v>
      </c>
      <c r="H23" s="908"/>
      <c r="I23" s="908"/>
      <c r="J23" s="908"/>
      <c r="K23" s="908"/>
      <c r="L23" s="908"/>
      <c r="M23" s="908"/>
      <c r="N23" s="909"/>
    </row>
    <row r="24" spans="1:14" ht="30" customHeight="1">
      <c r="A24" s="562" t="s">
        <v>506</v>
      </c>
      <c r="B24" s="900" t="s">
        <v>688</v>
      </c>
      <c r="C24" s="900"/>
      <c r="D24" s="900"/>
      <c r="E24" s="900"/>
      <c r="F24" s="901"/>
      <c r="G24" s="902" t="s">
        <v>663</v>
      </c>
      <c r="H24" s="903"/>
      <c r="I24" s="903"/>
      <c r="J24" s="903"/>
      <c r="K24" s="903"/>
      <c r="L24" s="903"/>
      <c r="M24" s="903"/>
      <c r="N24" s="904"/>
    </row>
    <row r="25" spans="1:14" s="19" customFormat="1" ht="30" customHeight="1">
      <c r="A25" s="563" t="s">
        <v>492</v>
      </c>
      <c r="B25" s="902" t="s">
        <v>688</v>
      </c>
      <c r="C25" s="903"/>
      <c r="D25" s="903"/>
      <c r="E25" s="903"/>
      <c r="F25" s="904"/>
      <c r="G25" s="902" t="s">
        <v>663</v>
      </c>
      <c r="H25" s="903"/>
      <c r="I25" s="903"/>
      <c r="J25" s="903"/>
      <c r="K25" s="903"/>
      <c r="L25" s="903"/>
      <c r="M25" s="903"/>
      <c r="N25" s="904"/>
    </row>
    <row r="26" spans="1:14" s="19" customFormat="1" ht="30" customHeight="1">
      <c r="A26" s="563" t="s">
        <v>493</v>
      </c>
      <c r="B26" s="902" t="s">
        <v>688</v>
      </c>
      <c r="C26" s="903"/>
      <c r="D26" s="903"/>
      <c r="E26" s="903"/>
      <c r="F26" s="904"/>
      <c r="G26" s="902" t="s">
        <v>663</v>
      </c>
      <c r="H26" s="903"/>
      <c r="I26" s="903"/>
      <c r="J26" s="903"/>
      <c r="K26" s="903"/>
      <c r="L26" s="903"/>
      <c r="M26" s="903"/>
      <c r="N26" s="904"/>
    </row>
    <row r="27" spans="1:14" s="19" customFormat="1" ht="30" customHeight="1">
      <c r="A27" s="563" t="s">
        <v>494</v>
      </c>
      <c r="B27" s="914" t="s">
        <v>688</v>
      </c>
      <c r="C27" s="915"/>
      <c r="D27" s="915"/>
      <c r="E27" s="915"/>
      <c r="F27" s="916"/>
      <c r="G27" s="917" t="s">
        <v>663</v>
      </c>
      <c r="H27" s="915"/>
      <c r="I27" s="915"/>
      <c r="J27" s="915"/>
      <c r="K27" s="915"/>
      <c r="L27" s="915"/>
      <c r="M27" s="915"/>
      <c r="N27" s="916"/>
    </row>
    <row r="28" spans="1:14" s="19" customFormat="1" ht="30" customHeight="1">
      <c r="A28" s="563" t="s">
        <v>495</v>
      </c>
      <c r="B28" s="914" t="s">
        <v>688</v>
      </c>
      <c r="C28" s="915"/>
      <c r="D28" s="915"/>
      <c r="E28" s="915"/>
      <c r="F28" s="916"/>
      <c r="G28" s="917" t="s">
        <v>663</v>
      </c>
      <c r="H28" s="915"/>
      <c r="I28" s="915"/>
      <c r="J28" s="915"/>
      <c r="K28" s="915"/>
      <c r="L28" s="915"/>
      <c r="M28" s="915"/>
      <c r="N28" s="916"/>
    </row>
    <row r="29" spans="1:14" s="19" customFormat="1" ht="30" customHeight="1">
      <c r="A29" s="563" t="s">
        <v>496</v>
      </c>
      <c r="B29" s="914" t="s">
        <v>688</v>
      </c>
      <c r="C29" s="915"/>
      <c r="D29" s="915"/>
      <c r="E29" s="915"/>
      <c r="F29" s="916"/>
      <c r="G29" s="917" t="s">
        <v>663</v>
      </c>
      <c r="H29" s="915"/>
      <c r="I29" s="915"/>
      <c r="J29" s="915"/>
      <c r="K29" s="915"/>
      <c r="L29" s="915"/>
      <c r="M29" s="915"/>
      <c r="N29" s="916"/>
    </row>
    <row r="30" spans="1:14" s="19" customFormat="1" ht="30" customHeight="1">
      <c r="A30" s="563" t="s">
        <v>497</v>
      </c>
      <c r="B30" s="914" t="s">
        <v>688</v>
      </c>
      <c r="C30" s="915"/>
      <c r="D30" s="915"/>
      <c r="E30" s="915"/>
      <c r="F30" s="916"/>
      <c r="G30" s="917" t="s">
        <v>663</v>
      </c>
      <c r="H30" s="915"/>
      <c r="I30" s="915"/>
      <c r="J30" s="915"/>
      <c r="K30" s="915"/>
      <c r="L30" s="915"/>
      <c r="M30" s="915"/>
      <c r="N30" s="916"/>
    </row>
    <row r="31" spans="1:14" s="19" customFormat="1" ht="30" customHeight="1">
      <c r="A31" s="563" t="s">
        <v>681</v>
      </c>
      <c r="B31" s="914" t="s">
        <v>733</v>
      </c>
      <c r="C31" s="915"/>
      <c r="D31" s="915"/>
      <c r="E31" s="915"/>
      <c r="F31" s="916"/>
      <c r="G31" s="917" t="s">
        <v>734</v>
      </c>
      <c r="H31" s="915"/>
      <c r="I31" s="915"/>
      <c r="J31" s="915"/>
      <c r="K31" s="915"/>
      <c r="L31" s="915"/>
      <c r="M31" s="915"/>
      <c r="N31" s="916"/>
    </row>
    <row r="32" spans="1:14" s="19" customFormat="1" ht="30" customHeight="1">
      <c r="A32" s="563" t="s">
        <v>682</v>
      </c>
      <c r="B32" s="914"/>
      <c r="C32" s="915"/>
      <c r="D32" s="915"/>
      <c r="E32" s="915"/>
      <c r="F32" s="916"/>
      <c r="G32" s="917"/>
      <c r="H32" s="915"/>
      <c r="I32" s="915"/>
      <c r="J32" s="915"/>
      <c r="K32" s="915"/>
      <c r="L32" s="915"/>
      <c r="M32" s="915"/>
      <c r="N32" s="916"/>
    </row>
    <row r="33" spans="1:14" s="19" customFormat="1" ht="30" customHeight="1">
      <c r="A33" s="563" t="s">
        <v>683</v>
      </c>
      <c r="B33" s="914"/>
      <c r="C33" s="915"/>
      <c r="D33" s="915"/>
      <c r="E33" s="915"/>
      <c r="F33" s="916"/>
      <c r="G33" s="917"/>
      <c r="H33" s="915"/>
      <c r="I33" s="915"/>
      <c r="J33" s="915"/>
      <c r="K33" s="915"/>
      <c r="L33" s="915"/>
      <c r="M33" s="915"/>
      <c r="N33" s="916"/>
    </row>
    <row r="34" spans="1:14" s="19" customFormat="1" ht="30" customHeight="1">
      <c r="A34" s="563" t="s">
        <v>684</v>
      </c>
      <c r="B34" s="914"/>
      <c r="C34" s="915"/>
      <c r="D34" s="915"/>
      <c r="E34" s="915"/>
      <c r="F34" s="916"/>
      <c r="G34" s="917"/>
      <c r="H34" s="915"/>
      <c r="I34" s="915"/>
      <c r="J34" s="915"/>
      <c r="K34" s="915"/>
      <c r="L34" s="915"/>
      <c r="M34" s="915"/>
      <c r="N34" s="916"/>
    </row>
    <row r="35" spans="1:14" s="19" customFormat="1" ht="30" customHeight="1">
      <c r="A35" s="564" t="s">
        <v>685</v>
      </c>
      <c r="B35" s="914"/>
      <c r="C35" s="915"/>
      <c r="D35" s="915"/>
      <c r="E35" s="915"/>
      <c r="F35" s="916"/>
      <c r="G35" s="917"/>
      <c r="H35" s="915"/>
      <c r="I35" s="915"/>
      <c r="J35" s="915"/>
      <c r="K35" s="915"/>
      <c r="L35" s="915"/>
      <c r="M35" s="915"/>
      <c r="N35" s="916"/>
    </row>
    <row r="37" spans="1:14">
      <c r="B37" s="192" t="s">
        <v>362</v>
      </c>
      <c r="C37" s="193">
        <v>43831</v>
      </c>
      <c r="D37" s="193">
        <v>43862</v>
      </c>
      <c r="E37" s="193">
        <v>43891</v>
      </c>
      <c r="F37" s="193">
        <v>43922</v>
      </c>
      <c r="G37" s="193">
        <v>43952</v>
      </c>
      <c r="H37" s="193">
        <v>43983</v>
      </c>
      <c r="I37" s="193">
        <v>44013</v>
      </c>
      <c r="J37" s="193">
        <v>44044</v>
      </c>
      <c r="K37" s="193">
        <v>44075</v>
      </c>
      <c r="L37" s="193">
        <v>44105</v>
      </c>
      <c r="M37" s="193">
        <v>44136</v>
      </c>
      <c r="N37" s="193">
        <v>44166</v>
      </c>
    </row>
    <row r="38" spans="1:14">
      <c r="B38" s="173" t="s">
        <v>4</v>
      </c>
      <c r="C38" s="194">
        <v>0.9</v>
      </c>
      <c r="D38" s="194">
        <v>0.9</v>
      </c>
      <c r="E38" s="194">
        <v>0.9</v>
      </c>
      <c r="F38" s="194">
        <v>0.9</v>
      </c>
      <c r="G38" s="194">
        <v>0.9</v>
      </c>
      <c r="H38" s="194">
        <v>0.9</v>
      </c>
      <c r="I38" s="194">
        <v>0.9</v>
      </c>
      <c r="J38" s="194">
        <v>0.9</v>
      </c>
      <c r="K38" s="194">
        <v>0.9</v>
      </c>
      <c r="L38" s="194">
        <v>0.9</v>
      </c>
      <c r="M38" s="194">
        <v>0.9</v>
      </c>
      <c r="N38" s="194">
        <v>0.9</v>
      </c>
    </row>
    <row r="39" spans="1:14" ht="20.25" customHeight="1">
      <c r="B39" s="175" t="s">
        <v>427</v>
      </c>
      <c r="C39" s="459">
        <v>1</v>
      </c>
      <c r="D39" s="459">
        <v>5</v>
      </c>
      <c r="E39" s="459">
        <v>4</v>
      </c>
      <c r="F39" s="459">
        <v>5</v>
      </c>
      <c r="G39" s="459">
        <v>9</v>
      </c>
      <c r="H39" s="459">
        <v>6</v>
      </c>
      <c r="I39" s="459">
        <v>6</v>
      </c>
      <c r="J39" s="459">
        <v>13</v>
      </c>
      <c r="K39" s="459">
        <v>5</v>
      </c>
      <c r="L39" s="459"/>
      <c r="M39" s="459"/>
      <c r="N39" s="459"/>
    </row>
    <row r="40" spans="1:14">
      <c r="B40" s="175" t="s">
        <v>428</v>
      </c>
      <c r="C40" s="459">
        <v>1</v>
      </c>
      <c r="D40" s="459">
        <v>5</v>
      </c>
      <c r="E40" s="459">
        <v>4</v>
      </c>
      <c r="F40" s="459">
        <v>5</v>
      </c>
      <c r="G40" s="460">
        <v>9</v>
      </c>
      <c r="H40" s="459">
        <v>6</v>
      </c>
      <c r="I40" s="459">
        <v>6</v>
      </c>
      <c r="J40" s="459">
        <v>12</v>
      </c>
      <c r="K40" s="459">
        <v>5</v>
      </c>
      <c r="L40" s="459"/>
      <c r="M40" s="459"/>
      <c r="N40" s="459"/>
    </row>
    <row r="41" spans="1:14" ht="22.5" hidden="1">
      <c r="B41" s="175" t="s">
        <v>384</v>
      </c>
      <c r="C41" s="176">
        <f>+C39</f>
        <v>1</v>
      </c>
      <c r="D41" s="176">
        <v>6</v>
      </c>
      <c r="E41" s="176">
        <f t="shared" ref="E41:M41" si="1">+D41+E39</f>
        <v>10</v>
      </c>
      <c r="F41" s="176">
        <v>14</v>
      </c>
      <c r="G41" s="176">
        <f t="shared" si="1"/>
        <v>23</v>
      </c>
      <c r="H41" s="176">
        <f t="shared" si="1"/>
        <v>29</v>
      </c>
      <c r="I41" s="176">
        <f t="shared" si="1"/>
        <v>35</v>
      </c>
      <c r="J41" s="176">
        <f t="shared" si="1"/>
        <v>48</v>
      </c>
      <c r="K41" s="176">
        <f t="shared" si="1"/>
        <v>53</v>
      </c>
      <c r="L41" s="176">
        <f t="shared" si="1"/>
        <v>53</v>
      </c>
      <c r="M41" s="176">
        <f t="shared" si="1"/>
        <v>53</v>
      </c>
      <c r="N41" s="176">
        <f>+M41+N39</f>
        <v>53</v>
      </c>
    </row>
    <row r="42" spans="1:14" ht="22.5">
      <c r="B42" s="175" t="s">
        <v>385</v>
      </c>
      <c r="C42" s="176">
        <f>+C40</f>
        <v>1</v>
      </c>
      <c r="D42" s="176">
        <f>+C42+D40</f>
        <v>6</v>
      </c>
      <c r="E42" s="176">
        <v>10</v>
      </c>
      <c r="F42" s="176">
        <v>14</v>
      </c>
      <c r="G42" s="176">
        <f t="shared" ref="G42:M42" si="2">+F42+G40</f>
        <v>23</v>
      </c>
      <c r="H42" s="176">
        <f t="shared" si="2"/>
        <v>29</v>
      </c>
      <c r="I42" s="176">
        <f t="shared" si="2"/>
        <v>35</v>
      </c>
      <c r="J42" s="176">
        <f t="shared" si="2"/>
        <v>47</v>
      </c>
      <c r="K42" s="176">
        <f t="shared" si="2"/>
        <v>52</v>
      </c>
      <c r="L42" s="176">
        <f t="shared" si="2"/>
        <v>52</v>
      </c>
      <c r="M42" s="176">
        <f t="shared" si="2"/>
        <v>52</v>
      </c>
      <c r="N42" s="176">
        <f t="shared" ref="N42" si="3">+M42+N40</f>
        <v>52</v>
      </c>
    </row>
    <row r="43" spans="1:14">
      <c r="B43" s="175" t="s">
        <v>629</v>
      </c>
      <c r="C43" s="195">
        <f t="shared" ref="C43:M43" si="4">IFERROR(C40/C39,"")</f>
        <v>1</v>
      </c>
      <c r="D43" s="195">
        <f t="shared" si="4"/>
        <v>1</v>
      </c>
      <c r="E43" s="195">
        <f t="shared" si="4"/>
        <v>1</v>
      </c>
      <c r="F43" s="195">
        <f t="shared" si="4"/>
        <v>1</v>
      </c>
      <c r="G43" s="195">
        <f t="shared" si="4"/>
        <v>1</v>
      </c>
      <c r="H43" s="195">
        <f>IFERROR(H40/H39,"")</f>
        <v>1</v>
      </c>
      <c r="I43" s="195">
        <f t="shared" si="4"/>
        <v>1</v>
      </c>
      <c r="J43" s="195">
        <f t="shared" si="4"/>
        <v>0.92307692307692313</v>
      </c>
      <c r="K43" s="195">
        <f t="shared" si="4"/>
        <v>1</v>
      </c>
      <c r="L43" s="195" t="str">
        <f t="shared" si="4"/>
        <v/>
      </c>
      <c r="M43" s="195" t="str">
        <f t="shared" si="4"/>
        <v/>
      </c>
      <c r="N43" s="195" t="str">
        <f>IFERROR(N40/N39,"")</f>
        <v/>
      </c>
    </row>
    <row r="44" spans="1:14">
      <c r="B44" s="175" t="s">
        <v>366</v>
      </c>
      <c r="C44" s="195">
        <f>+IF(C43&gt;C38,1,C43/C38)</f>
        <v>1</v>
      </c>
      <c r="D44" s="195">
        <f t="shared" ref="D44:N44" si="5">+IF(D43&gt;D38,1,D43/D38)</f>
        <v>1</v>
      </c>
      <c r="E44" s="195">
        <f t="shared" si="5"/>
        <v>1</v>
      </c>
      <c r="F44" s="195">
        <f t="shared" si="5"/>
        <v>1</v>
      </c>
      <c r="G44" s="195">
        <f t="shared" si="5"/>
        <v>1</v>
      </c>
      <c r="H44" s="195">
        <f t="shared" si="5"/>
        <v>1</v>
      </c>
      <c r="I44" s="195">
        <f t="shared" si="5"/>
        <v>1</v>
      </c>
      <c r="J44" s="195">
        <f t="shared" si="5"/>
        <v>1</v>
      </c>
      <c r="K44" s="195">
        <f t="shared" si="5"/>
        <v>1</v>
      </c>
      <c r="L44" s="195">
        <f t="shared" si="5"/>
        <v>1</v>
      </c>
      <c r="M44" s="195">
        <f t="shared" si="5"/>
        <v>1</v>
      </c>
      <c r="N44" s="195">
        <f t="shared" si="5"/>
        <v>1</v>
      </c>
    </row>
    <row r="48" spans="1:14" hidden="1"/>
    <row r="49" hidden="1"/>
    <row r="50" hidden="1"/>
    <row r="51" hidden="1"/>
    <row r="52" hidden="1"/>
    <row r="53" hidden="1"/>
    <row r="54" hidden="1"/>
    <row r="55" hidden="1"/>
    <row r="56" hidden="1"/>
    <row r="57" hidden="1"/>
    <row r="58" hidden="1"/>
  </sheetData>
  <sheetProtection formatCells="0" formatColumns="0" formatRows="0"/>
  <mergeCells count="52">
    <mergeCell ref="B34:F34"/>
    <mergeCell ref="G34:N34"/>
    <mergeCell ref="B35:F35"/>
    <mergeCell ref="G35:N35"/>
    <mergeCell ref="B33:F33"/>
    <mergeCell ref="G33:N33"/>
    <mergeCell ref="B30:F30"/>
    <mergeCell ref="G30:N30"/>
    <mergeCell ref="B31:F31"/>
    <mergeCell ref="G31:N31"/>
    <mergeCell ref="B32:F32"/>
    <mergeCell ref="G32:N32"/>
    <mergeCell ref="B27:F27"/>
    <mergeCell ref="G27:N27"/>
    <mergeCell ref="B28:F28"/>
    <mergeCell ref="G28:N28"/>
    <mergeCell ref="B29:F29"/>
    <mergeCell ref="G29:N29"/>
    <mergeCell ref="B26:F26"/>
    <mergeCell ref="G26:N26"/>
    <mergeCell ref="C6:N6"/>
    <mergeCell ref="C7:N7"/>
    <mergeCell ref="A13:B13"/>
    <mergeCell ref="C13:N13"/>
    <mergeCell ref="C14:N14"/>
    <mergeCell ref="C15:N15"/>
    <mergeCell ref="A20:B20"/>
    <mergeCell ref="B25:F25"/>
    <mergeCell ref="G25:N25"/>
    <mergeCell ref="G23:N23"/>
    <mergeCell ref="C8:J8"/>
    <mergeCell ref="C9:J9"/>
    <mergeCell ref="A21:B21"/>
    <mergeCell ref="A19:B19"/>
    <mergeCell ref="A1:J4"/>
    <mergeCell ref="K1:L1"/>
    <mergeCell ref="M1:N1"/>
    <mergeCell ref="K2:L2"/>
    <mergeCell ref="M2:N2"/>
    <mergeCell ref="K3:L3"/>
    <mergeCell ref="M3:N3"/>
    <mergeCell ref="K4:L4"/>
    <mergeCell ref="M4:N4"/>
    <mergeCell ref="B24:F24"/>
    <mergeCell ref="G24:N24"/>
    <mergeCell ref="C10:I10"/>
    <mergeCell ref="C11:I11"/>
    <mergeCell ref="C12:I12"/>
    <mergeCell ref="A18:B18"/>
    <mergeCell ref="A16:B16"/>
    <mergeCell ref="C16:N16"/>
    <mergeCell ref="B23:F23"/>
  </mergeCells>
  <hyperlinks>
    <hyperlink ref="P5" location="'Matriz Sta Ana'!A1" display="Volver " xr:uid="{641C871C-F1ED-4BB6-9CC5-B7F1A755C561}"/>
  </hyperlinks>
  <pageMargins left="0.7" right="0.7" top="0.75" bottom="0.75" header="0.3" footer="0.3"/>
  <pageSetup scale="68" fitToHeight="0" orientation="portrait" r:id="rId1"/>
  <rowBreaks count="1" manualBreakCount="1">
    <brk id="21" max="13" man="1"/>
  </rowBreaks>
  <drawing r:id="rId2"/>
  <legacyDrawing r:id="rId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752DB-E533-4B65-8CAE-5BEC248E8A33}">
  <sheetPr>
    <tabColor rgb="FF92D050"/>
  </sheetPr>
  <dimension ref="A1:AS46"/>
  <sheetViews>
    <sheetView view="pageBreakPreview" topLeftCell="A33" zoomScale="90" zoomScaleNormal="100" zoomScaleSheetLayoutView="90" workbookViewId="0">
      <selection activeCell="A22" sqref="A22:XFD22"/>
    </sheetView>
  </sheetViews>
  <sheetFormatPr baseColWidth="10" defaultColWidth="0" defaultRowHeight="16.5"/>
  <cols>
    <col min="1" max="1" width="7.42578125" style="5" customWidth="1"/>
    <col min="2" max="2" width="35.140625" style="5" customWidth="1"/>
    <col min="3" max="3" width="7.85546875" style="4" customWidth="1"/>
    <col min="4" max="4" width="7.5703125" style="4" customWidth="1"/>
    <col min="5" max="5" width="8.7109375" style="4" customWidth="1"/>
    <col min="6" max="6" width="8.140625" style="4" customWidth="1"/>
    <col min="7" max="7" width="9.5703125" style="4" customWidth="1"/>
    <col min="8" max="8" width="7.7109375" style="4" customWidth="1"/>
    <col min="9" max="9" width="7.140625" style="4" customWidth="1"/>
    <col min="10" max="10" width="8.28515625" style="4" customWidth="1"/>
    <col min="11" max="11" width="8.7109375" style="4" customWidth="1"/>
    <col min="12" max="12" width="7.140625" style="4" customWidth="1"/>
    <col min="13" max="13" width="8" style="4" customWidth="1"/>
    <col min="14" max="14" width="7.140625" style="4" customWidth="1"/>
    <col min="15" max="15" width="7" style="4" customWidth="1"/>
    <col min="16" max="45" width="0" style="4" hidden="1" customWidth="1"/>
    <col min="46" max="16384" width="11.42578125" style="4" hidden="1"/>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0</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A5" s="256"/>
      <c r="B5" s="256"/>
      <c r="C5" s="280"/>
      <c r="D5" s="280"/>
      <c r="E5" s="280"/>
      <c r="F5" s="280"/>
      <c r="G5" s="280"/>
      <c r="H5" s="280"/>
      <c r="I5" s="280"/>
      <c r="J5" s="280"/>
      <c r="K5" s="280"/>
      <c r="L5" s="280"/>
      <c r="M5" s="281"/>
      <c r="N5" s="282" t="s">
        <v>119</v>
      </c>
      <c r="O5" s="52" t="s">
        <v>120</v>
      </c>
    </row>
    <row r="6" spans="1:15" ht="20.25" customHeight="1">
      <c r="A6" s="256" t="s">
        <v>121</v>
      </c>
      <c r="B6" s="256"/>
      <c r="C6" s="887" t="s">
        <v>58</v>
      </c>
      <c r="D6" s="887"/>
      <c r="E6" s="887"/>
      <c r="F6" s="887"/>
      <c r="G6" s="887"/>
      <c r="H6" s="887"/>
      <c r="I6" s="887"/>
      <c r="J6" s="887"/>
      <c r="K6" s="887"/>
      <c r="L6" s="887"/>
      <c r="M6" s="887"/>
      <c r="N6" s="887"/>
    </row>
    <row r="7" spans="1:15" ht="17.25" customHeight="1">
      <c r="A7" s="256" t="s">
        <v>3</v>
      </c>
      <c r="B7" s="256"/>
      <c r="C7" s="888" t="s">
        <v>386</v>
      </c>
      <c r="D7" s="888"/>
      <c r="E7" s="888"/>
      <c r="F7" s="888"/>
      <c r="G7" s="888"/>
      <c r="H7" s="888"/>
      <c r="I7" s="888"/>
      <c r="J7" s="888"/>
      <c r="K7" s="888"/>
      <c r="L7" s="888"/>
      <c r="M7" s="888"/>
      <c r="N7" s="888"/>
    </row>
    <row r="8" spans="1:15">
      <c r="A8" s="256" t="s">
        <v>122</v>
      </c>
      <c r="B8" s="256"/>
      <c r="C8" s="257" t="s">
        <v>123</v>
      </c>
      <c r="D8" s="257"/>
      <c r="E8" s="257"/>
      <c r="F8" s="257"/>
      <c r="G8" s="257"/>
      <c r="H8" s="257"/>
      <c r="I8" s="257"/>
      <c r="J8" s="257"/>
      <c r="K8" s="257"/>
      <c r="L8" s="257"/>
      <c r="M8" s="257"/>
      <c r="N8" s="257"/>
    </row>
    <row r="9" spans="1:15" ht="17.25" customHeight="1">
      <c r="A9" s="256" t="s">
        <v>124</v>
      </c>
      <c r="B9" s="256"/>
      <c r="C9" s="888" t="s">
        <v>689</v>
      </c>
      <c r="D9" s="888"/>
      <c r="E9" s="888"/>
      <c r="F9" s="888"/>
      <c r="G9" s="888"/>
      <c r="H9" s="888"/>
      <c r="I9" s="888"/>
      <c r="J9" s="888"/>
      <c r="K9" s="888"/>
      <c r="L9" s="888"/>
      <c r="M9" s="888"/>
      <c r="N9" s="888"/>
    </row>
    <row r="10" spans="1:15">
      <c r="A10" s="256" t="s">
        <v>5</v>
      </c>
      <c r="B10" s="256"/>
      <c r="C10" s="258" t="s">
        <v>15</v>
      </c>
      <c r="D10" s="258"/>
      <c r="E10" s="258"/>
      <c r="F10" s="258"/>
      <c r="G10" s="258"/>
      <c r="H10" s="258"/>
      <c r="I10" s="258"/>
      <c r="J10" s="258"/>
      <c r="K10" s="258"/>
      <c r="L10" s="258"/>
      <c r="M10" s="258"/>
      <c r="N10" s="258"/>
    </row>
    <row r="11" spans="1:15">
      <c r="A11" s="256" t="s">
        <v>6</v>
      </c>
      <c r="B11" s="256"/>
      <c r="C11" s="258" t="s">
        <v>369</v>
      </c>
      <c r="D11" s="258"/>
      <c r="E11" s="258"/>
      <c r="F11" s="258"/>
      <c r="G11" s="258"/>
      <c r="H11" s="258"/>
      <c r="I11" s="258"/>
      <c r="J11" s="258"/>
      <c r="K11" s="258"/>
      <c r="L11" s="258"/>
      <c r="M11" s="258"/>
      <c r="N11" s="258"/>
    </row>
    <row r="12" spans="1:15" ht="16.5" customHeight="1">
      <c r="A12" s="256" t="s">
        <v>7</v>
      </c>
      <c r="B12" s="256"/>
      <c r="C12" s="888" t="s">
        <v>387</v>
      </c>
      <c r="D12" s="888"/>
      <c r="E12" s="888"/>
      <c r="F12" s="888"/>
      <c r="G12" s="888"/>
      <c r="H12" s="888"/>
      <c r="I12" s="888"/>
      <c r="J12" s="888"/>
      <c r="K12" s="888"/>
      <c r="L12" s="888"/>
      <c r="M12" s="888"/>
      <c r="N12" s="888"/>
    </row>
    <row r="13" spans="1:15" ht="30" customHeight="1">
      <c r="A13" s="891" t="s">
        <v>125</v>
      </c>
      <c r="B13" s="891"/>
      <c r="C13" s="888" t="s">
        <v>369</v>
      </c>
      <c r="D13" s="888"/>
      <c r="E13" s="888"/>
      <c r="F13" s="888"/>
      <c r="G13" s="888"/>
      <c r="H13" s="888"/>
      <c r="I13" s="888"/>
      <c r="J13" s="888"/>
      <c r="K13" s="888"/>
      <c r="L13" s="888"/>
      <c r="M13" s="888"/>
      <c r="N13" s="888"/>
    </row>
    <row r="14" spans="1:15" ht="18.75" customHeight="1">
      <c r="A14" s="256" t="s">
        <v>127</v>
      </c>
      <c r="B14" s="256"/>
      <c r="C14" s="888" t="s">
        <v>388</v>
      </c>
      <c r="D14" s="888"/>
      <c r="E14" s="888"/>
      <c r="F14" s="888"/>
      <c r="G14" s="888"/>
      <c r="H14" s="888"/>
      <c r="I14" s="888"/>
      <c r="J14" s="888"/>
      <c r="K14" s="888"/>
      <c r="L14" s="888"/>
      <c r="M14" s="888"/>
      <c r="N14" s="888"/>
    </row>
    <row r="15" spans="1:15" ht="17.25" customHeight="1">
      <c r="A15" s="256" t="s">
        <v>10</v>
      </c>
      <c r="B15" s="256"/>
      <c r="C15" s="895" t="s">
        <v>389</v>
      </c>
      <c r="D15" s="895"/>
      <c r="E15" s="895"/>
      <c r="F15" s="895"/>
      <c r="G15" s="895"/>
      <c r="H15" s="895"/>
      <c r="I15" s="895"/>
      <c r="J15" s="895"/>
      <c r="K15" s="895"/>
      <c r="L15" s="895"/>
      <c r="M15" s="895"/>
      <c r="N15" s="895"/>
    </row>
    <row r="16" spans="1:15" ht="20.25" customHeight="1">
      <c r="A16" s="886" t="s">
        <v>443</v>
      </c>
      <c r="B16" s="886"/>
      <c r="C16" s="708"/>
      <c r="D16" s="709"/>
      <c r="E16" s="709"/>
      <c r="F16" s="709"/>
      <c r="G16" s="709"/>
      <c r="H16" s="709"/>
      <c r="I16" s="709"/>
      <c r="J16" s="709"/>
      <c r="K16" s="709"/>
      <c r="L16" s="709"/>
      <c r="M16" s="709"/>
      <c r="N16" s="709"/>
    </row>
    <row r="17" spans="1:14" ht="15" customHeight="1">
      <c r="A17" s="283"/>
      <c r="B17" s="283"/>
      <c r="C17" s="284"/>
      <c r="D17" s="284"/>
      <c r="E17" s="284"/>
      <c r="F17" s="284"/>
      <c r="G17" s="284"/>
      <c r="H17" s="284"/>
      <c r="I17" s="284"/>
      <c r="J17" s="256"/>
      <c r="K17" s="256"/>
      <c r="L17" s="256"/>
      <c r="M17" s="256"/>
      <c r="N17" s="256"/>
    </row>
    <row r="18" spans="1:14" ht="14.45" customHeight="1">
      <c r="A18" s="962" t="s">
        <v>129</v>
      </c>
      <c r="B18" s="963"/>
      <c r="C18" s="568" t="s">
        <v>130</v>
      </c>
      <c r="D18" s="568" t="s">
        <v>131</v>
      </c>
      <c r="E18" s="568" t="s">
        <v>132</v>
      </c>
      <c r="F18" s="568" t="s">
        <v>133</v>
      </c>
      <c r="G18" s="568" t="s">
        <v>134</v>
      </c>
      <c r="H18" s="568" t="s">
        <v>135</v>
      </c>
      <c r="I18" s="568" t="s">
        <v>136</v>
      </c>
      <c r="J18" s="568" t="s">
        <v>137</v>
      </c>
      <c r="K18" s="568" t="s">
        <v>138</v>
      </c>
      <c r="L18" s="568" t="s">
        <v>139</v>
      </c>
      <c r="M18" s="568" t="s">
        <v>140</v>
      </c>
      <c r="N18" s="568" t="s">
        <v>141</v>
      </c>
    </row>
    <row r="19" spans="1:14">
      <c r="A19" s="964"/>
      <c r="B19" s="965"/>
      <c r="C19" s="356">
        <f>4/4</f>
        <v>1</v>
      </c>
      <c r="D19" s="356">
        <v>2</v>
      </c>
      <c r="E19" s="356">
        <v>3</v>
      </c>
      <c r="F19" s="356">
        <v>4</v>
      </c>
      <c r="G19" s="356">
        <v>5</v>
      </c>
      <c r="H19" s="356">
        <v>6</v>
      </c>
      <c r="I19" s="356">
        <v>7</v>
      </c>
      <c r="J19" s="356">
        <v>8</v>
      </c>
      <c r="K19" s="356">
        <v>9</v>
      </c>
      <c r="L19" s="356">
        <v>10</v>
      </c>
      <c r="M19" s="356">
        <v>11</v>
      </c>
      <c r="N19" s="356">
        <v>12</v>
      </c>
    </row>
    <row r="20" spans="1:14" ht="16.5" customHeight="1">
      <c r="A20" s="972" t="s">
        <v>486</v>
      </c>
      <c r="B20" s="973"/>
      <c r="C20" s="569">
        <f>+C42</f>
        <v>1</v>
      </c>
      <c r="D20" s="569">
        <f t="shared" ref="D20:K20" si="0">+D42</f>
        <v>1</v>
      </c>
      <c r="E20" s="569">
        <f t="shared" si="0"/>
        <v>1</v>
      </c>
      <c r="F20" s="569">
        <f t="shared" si="0"/>
        <v>0.875</v>
      </c>
      <c r="G20" s="569">
        <f t="shared" si="0"/>
        <v>0.91304347826086951</v>
      </c>
      <c r="H20" s="569">
        <f t="shared" si="0"/>
        <v>0.875</v>
      </c>
      <c r="I20" s="569">
        <f t="shared" si="0"/>
        <v>1</v>
      </c>
      <c r="J20" s="569">
        <f t="shared" si="0"/>
        <v>0.77419354838709675</v>
      </c>
      <c r="K20" s="569">
        <f t="shared" si="0"/>
        <v>0.78947368421052633</v>
      </c>
      <c r="L20" s="569" t="e">
        <f>+L42</f>
        <v>#DIV/0!</v>
      </c>
      <c r="M20" s="569" t="e">
        <f>+M42</f>
        <v>#DIV/0!</v>
      </c>
      <c r="N20" s="569" t="e">
        <f>+N42</f>
        <v>#DIV/0!</v>
      </c>
    </row>
    <row r="21" spans="1:14">
      <c r="A21" s="946" t="s">
        <v>485</v>
      </c>
      <c r="B21" s="947"/>
      <c r="C21" s="570">
        <v>1</v>
      </c>
      <c r="D21" s="570">
        <v>1</v>
      </c>
      <c r="E21" s="570">
        <v>1</v>
      </c>
      <c r="F21" s="570">
        <v>0.9</v>
      </c>
      <c r="G21" s="570">
        <v>0.9</v>
      </c>
      <c r="H21" s="570">
        <v>0.9</v>
      </c>
      <c r="I21" s="570">
        <v>1</v>
      </c>
      <c r="J21" s="570">
        <v>0.9</v>
      </c>
      <c r="K21" s="570">
        <v>0.9</v>
      </c>
      <c r="L21" s="570">
        <v>0.9</v>
      </c>
      <c r="M21" s="570">
        <v>0.9</v>
      </c>
      <c r="N21" s="570">
        <v>0.9</v>
      </c>
    </row>
    <row r="22" spans="1:14" s="19" customFormat="1" ht="221.25" customHeight="1">
      <c r="A22" s="969" t="s">
        <v>144</v>
      </c>
      <c r="B22" s="970"/>
      <c r="C22" s="970"/>
      <c r="D22" s="970"/>
      <c r="E22" s="970"/>
      <c r="F22" s="970"/>
      <c r="G22" s="970"/>
      <c r="H22" s="970"/>
      <c r="I22" s="970"/>
      <c r="J22" s="970"/>
      <c r="K22" s="970"/>
      <c r="L22" s="970"/>
      <c r="M22" s="970"/>
      <c r="N22" s="971"/>
    </row>
    <row r="23" spans="1:14" ht="7.5" customHeight="1">
      <c r="A23" s="256"/>
      <c r="B23" s="256"/>
      <c r="C23" s="280"/>
      <c r="D23" s="280"/>
      <c r="E23" s="280"/>
      <c r="F23" s="280"/>
      <c r="G23" s="280"/>
      <c r="H23" s="280"/>
      <c r="I23" s="280"/>
      <c r="J23" s="280"/>
      <c r="K23" s="280"/>
      <c r="L23" s="280"/>
      <c r="M23" s="280"/>
      <c r="N23" s="280"/>
    </row>
    <row r="24" spans="1:14" ht="25.5" customHeight="1">
      <c r="A24" s="357" t="s">
        <v>129</v>
      </c>
      <c r="B24" s="959" t="s">
        <v>145</v>
      </c>
      <c r="C24" s="960"/>
      <c r="D24" s="960"/>
      <c r="E24" s="960"/>
      <c r="F24" s="961"/>
      <c r="G24" s="911" t="s">
        <v>146</v>
      </c>
      <c r="H24" s="908"/>
      <c r="I24" s="908"/>
      <c r="J24" s="908"/>
      <c r="K24" s="908"/>
      <c r="L24" s="908"/>
      <c r="M24" s="908"/>
      <c r="N24" s="909"/>
    </row>
    <row r="25" spans="1:14" s="565" customFormat="1" ht="28.5" customHeight="1">
      <c r="A25" s="562" t="str">
        <f>+IF(C19&gt;0,C18,"")</f>
        <v>ene</v>
      </c>
      <c r="B25" s="951" t="s">
        <v>690</v>
      </c>
      <c r="C25" s="951"/>
      <c r="D25" s="951"/>
      <c r="E25" s="951"/>
      <c r="F25" s="951"/>
      <c r="G25" s="952" t="s">
        <v>663</v>
      </c>
      <c r="H25" s="952"/>
      <c r="I25" s="952"/>
      <c r="J25" s="952"/>
      <c r="K25" s="952"/>
      <c r="L25" s="952"/>
      <c r="M25" s="952"/>
      <c r="N25" s="952"/>
    </row>
    <row r="26" spans="1:14" s="565" customFormat="1" ht="28.5" customHeight="1">
      <c r="A26" s="563" t="str">
        <f>+IF(D19&gt;0,D18,"")</f>
        <v>feb</v>
      </c>
      <c r="B26" s="953" t="s">
        <v>690</v>
      </c>
      <c r="C26" s="954"/>
      <c r="D26" s="954"/>
      <c r="E26" s="954"/>
      <c r="F26" s="955"/>
      <c r="G26" s="956" t="s">
        <v>663</v>
      </c>
      <c r="H26" s="957"/>
      <c r="I26" s="957"/>
      <c r="J26" s="957"/>
      <c r="K26" s="957"/>
      <c r="L26" s="957"/>
      <c r="M26" s="957"/>
      <c r="N26" s="958"/>
    </row>
    <row r="27" spans="1:14" s="565" customFormat="1" ht="28.5" customHeight="1">
      <c r="A27" s="563" t="str">
        <f>+IF(E19&gt;0,E18,"")</f>
        <v>mar</v>
      </c>
      <c r="B27" s="933" t="s">
        <v>690</v>
      </c>
      <c r="C27" s="931"/>
      <c r="D27" s="931"/>
      <c r="E27" s="931"/>
      <c r="F27" s="932"/>
      <c r="G27" s="934" t="s">
        <v>663</v>
      </c>
      <c r="H27" s="935"/>
      <c r="I27" s="935"/>
      <c r="J27" s="935"/>
      <c r="K27" s="935"/>
      <c r="L27" s="935"/>
      <c r="M27" s="935"/>
      <c r="N27" s="936"/>
    </row>
    <row r="28" spans="1:14" s="565" customFormat="1" ht="33.75" customHeight="1">
      <c r="A28" s="563" t="str">
        <f>+IF(F19&gt;0,F18,"")</f>
        <v>abr</v>
      </c>
      <c r="B28" s="933" t="s">
        <v>691</v>
      </c>
      <c r="C28" s="931"/>
      <c r="D28" s="931"/>
      <c r="E28" s="931"/>
      <c r="F28" s="932"/>
      <c r="G28" s="934" t="s">
        <v>663</v>
      </c>
      <c r="H28" s="935"/>
      <c r="I28" s="935"/>
      <c r="J28" s="935"/>
      <c r="K28" s="935"/>
      <c r="L28" s="935"/>
      <c r="M28" s="935"/>
      <c r="N28" s="936"/>
    </row>
    <row r="29" spans="1:14" s="565" customFormat="1" ht="36" customHeight="1">
      <c r="A29" s="563" t="str">
        <f>+IF(G19&gt;0,G18,"")</f>
        <v>may</v>
      </c>
      <c r="B29" s="921" t="s">
        <v>704</v>
      </c>
      <c r="C29" s="922"/>
      <c r="D29" s="922"/>
      <c r="E29" s="922"/>
      <c r="F29" s="923"/>
      <c r="G29" s="917" t="s">
        <v>705</v>
      </c>
      <c r="H29" s="915"/>
      <c r="I29" s="915"/>
      <c r="J29" s="915"/>
      <c r="K29" s="915"/>
      <c r="L29" s="915"/>
      <c r="M29" s="915"/>
      <c r="N29" s="916"/>
    </row>
    <row r="30" spans="1:14" s="565" customFormat="1" ht="28.5" customHeight="1">
      <c r="A30" s="563" t="str">
        <f>+IF(H19&gt;0,H18,"")</f>
        <v>jun</v>
      </c>
      <c r="B30" s="921" t="s">
        <v>692</v>
      </c>
      <c r="C30" s="922"/>
      <c r="D30" s="922"/>
      <c r="E30" s="922"/>
      <c r="F30" s="923"/>
      <c r="G30" s="917" t="s">
        <v>693</v>
      </c>
      <c r="H30" s="915"/>
      <c r="I30" s="915"/>
      <c r="J30" s="915"/>
      <c r="K30" s="915"/>
      <c r="L30" s="915"/>
      <c r="M30" s="915"/>
      <c r="N30" s="916"/>
    </row>
    <row r="31" spans="1:14" s="565" customFormat="1" ht="28.5" customHeight="1">
      <c r="A31" s="563" t="str">
        <f>+IF(I19&gt;0,I18,"")</f>
        <v>jul</v>
      </c>
      <c r="B31" s="930" t="s">
        <v>690</v>
      </c>
      <c r="C31" s="931"/>
      <c r="D31" s="931"/>
      <c r="E31" s="931"/>
      <c r="F31" s="932"/>
      <c r="G31" s="943" t="s">
        <v>663</v>
      </c>
      <c r="H31" s="944"/>
      <c r="I31" s="944"/>
      <c r="J31" s="944"/>
      <c r="K31" s="944"/>
      <c r="L31" s="944"/>
      <c r="M31" s="944"/>
      <c r="N31" s="945"/>
    </row>
    <row r="32" spans="1:14" s="565" customFormat="1" ht="28.5" customHeight="1">
      <c r="A32" s="563" t="str">
        <f>+IF(J19&gt;0,J18,"")</f>
        <v>ago</v>
      </c>
      <c r="B32" s="937" t="s">
        <v>735</v>
      </c>
      <c r="C32" s="938"/>
      <c r="D32" s="938"/>
      <c r="E32" s="938"/>
      <c r="F32" s="939"/>
      <c r="G32" s="927" t="s">
        <v>736</v>
      </c>
      <c r="H32" s="928"/>
      <c r="I32" s="928"/>
      <c r="J32" s="928"/>
      <c r="K32" s="928"/>
      <c r="L32" s="928"/>
      <c r="M32" s="928"/>
      <c r="N32" s="929"/>
    </row>
    <row r="33" spans="1:14" s="565" customFormat="1" ht="28.5" customHeight="1">
      <c r="A33" s="563" t="str">
        <f>+IF(K19&gt;0,K18,"")</f>
        <v>sep</v>
      </c>
      <c r="B33" s="933" t="s">
        <v>690</v>
      </c>
      <c r="C33" s="931"/>
      <c r="D33" s="931"/>
      <c r="E33" s="931"/>
      <c r="F33" s="932"/>
      <c r="G33" s="934" t="s">
        <v>663</v>
      </c>
      <c r="H33" s="935"/>
      <c r="I33" s="935"/>
      <c r="J33" s="935"/>
      <c r="K33" s="935"/>
      <c r="L33" s="935"/>
      <c r="M33" s="935"/>
      <c r="N33" s="936"/>
    </row>
    <row r="34" spans="1:14" s="565" customFormat="1" ht="28.5" customHeight="1">
      <c r="A34" s="563" t="str">
        <f>+IF(L19&gt;0,L18,"")</f>
        <v>oct</v>
      </c>
      <c r="B34" s="940"/>
      <c r="C34" s="941"/>
      <c r="D34" s="941"/>
      <c r="E34" s="941"/>
      <c r="F34" s="942"/>
      <c r="G34" s="966"/>
      <c r="H34" s="967"/>
      <c r="I34" s="967"/>
      <c r="J34" s="967"/>
      <c r="K34" s="967"/>
      <c r="L34" s="967"/>
      <c r="M34" s="967"/>
      <c r="N34" s="968"/>
    </row>
    <row r="35" spans="1:14" s="565" customFormat="1" ht="28.5" customHeight="1">
      <c r="A35" s="563" t="str">
        <f>+IF(M19&gt;0,M18,"")</f>
        <v>nov</v>
      </c>
      <c r="B35" s="940"/>
      <c r="C35" s="941"/>
      <c r="D35" s="941"/>
      <c r="E35" s="941"/>
      <c r="F35" s="942"/>
      <c r="G35" s="948"/>
      <c r="H35" s="949"/>
      <c r="I35" s="949"/>
      <c r="J35" s="949"/>
      <c r="K35" s="949"/>
      <c r="L35" s="949"/>
      <c r="M35" s="949"/>
      <c r="N35" s="950"/>
    </row>
    <row r="36" spans="1:14" s="565" customFormat="1" ht="28.5" customHeight="1">
      <c r="A36" s="564" t="str">
        <f>+IF(N19&gt;0,N18,"")</f>
        <v>dic</v>
      </c>
      <c r="B36" s="924"/>
      <c r="C36" s="925"/>
      <c r="D36" s="925"/>
      <c r="E36" s="925"/>
      <c r="F36" s="926"/>
      <c r="G36" s="927"/>
      <c r="H36" s="928"/>
      <c r="I36" s="928"/>
      <c r="J36" s="928"/>
      <c r="K36" s="928"/>
      <c r="L36" s="928"/>
      <c r="M36" s="928"/>
      <c r="N36" s="929"/>
    </row>
    <row r="37" spans="1:14">
      <c r="A37" s="256"/>
      <c r="B37" s="256"/>
      <c r="C37" s="280"/>
      <c r="D37" s="280"/>
      <c r="E37" s="280"/>
      <c r="F37" s="280"/>
      <c r="G37" s="280"/>
      <c r="H37" s="280"/>
      <c r="I37" s="280"/>
      <c r="J37" s="280"/>
      <c r="K37" s="280"/>
      <c r="L37" s="280"/>
      <c r="M37" s="280"/>
      <c r="N37" s="280"/>
    </row>
    <row r="38" spans="1:14">
      <c r="A38" s="256"/>
      <c r="B38" s="566" t="s">
        <v>362</v>
      </c>
      <c r="C38" s="567">
        <v>44197</v>
      </c>
      <c r="D38" s="567">
        <v>44228</v>
      </c>
      <c r="E38" s="567">
        <v>44256</v>
      </c>
      <c r="F38" s="567">
        <v>44287</v>
      </c>
      <c r="G38" s="567">
        <v>44317</v>
      </c>
      <c r="H38" s="567">
        <v>44348</v>
      </c>
      <c r="I38" s="567">
        <v>44378</v>
      </c>
      <c r="J38" s="567">
        <v>44409</v>
      </c>
      <c r="K38" s="567">
        <v>44440</v>
      </c>
      <c r="L38" s="567">
        <v>44470</v>
      </c>
      <c r="M38" s="567">
        <v>44501</v>
      </c>
      <c r="N38" s="567">
        <v>44531</v>
      </c>
    </row>
    <row r="39" spans="1:14">
      <c r="A39" s="256"/>
      <c r="B39" s="361" t="s">
        <v>469</v>
      </c>
      <c r="C39" s="362">
        <v>0.9</v>
      </c>
      <c r="D39" s="362">
        <v>0.9</v>
      </c>
      <c r="E39" s="362">
        <v>0.9</v>
      </c>
      <c r="F39" s="362">
        <v>0.9</v>
      </c>
      <c r="G39" s="362">
        <v>0.9</v>
      </c>
      <c r="H39" s="362">
        <v>0.9</v>
      </c>
      <c r="I39" s="362">
        <v>0.9</v>
      </c>
      <c r="J39" s="362">
        <v>0.9</v>
      </c>
      <c r="K39" s="362">
        <v>0.9</v>
      </c>
      <c r="L39" s="362">
        <v>0.9</v>
      </c>
      <c r="M39" s="362">
        <v>0.9</v>
      </c>
      <c r="N39" s="362">
        <v>0.9</v>
      </c>
    </row>
    <row r="40" spans="1:14" ht="25.5">
      <c r="A40" s="256"/>
      <c r="B40" s="363" t="s">
        <v>391</v>
      </c>
      <c r="C40" s="461">
        <v>1</v>
      </c>
      <c r="D40" s="462">
        <v>11</v>
      </c>
      <c r="E40" s="462">
        <v>16</v>
      </c>
      <c r="F40" s="462">
        <v>8</v>
      </c>
      <c r="G40" s="462">
        <v>23</v>
      </c>
      <c r="H40" s="462">
        <v>24</v>
      </c>
      <c r="I40" s="475">
        <v>6</v>
      </c>
      <c r="J40" s="475">
        <v>62</v>
      </c>
      <c r="K40" s="475">
        <v>19</v>
      </c>
      <c r="L40" s="462"/>
      <c r="M40" s="364"/>
      <c r="N40" s="364"/>
    </row>
    <row r="41" spans="1:14" ht="26.25" customHeight="1">
      <c r="A41" s="256"/>
      <c r="B41" s="363" t="s">
        <v>392</v>
      </c>
      <c r="C41" s="461">
        <v>1</v>
      </c>
      <c r="D41" s="461">
        <v>11</v>
      </c>
      <c r="E41" s="461">
        <v>16</v>
      </c>
      <c r="F41" s="461">
        <v>7</v>
      </c>
      <c r="G41" s="461">
        <v>21</v>
      </c>
      <c r="H41" s="461">
        <v>21</v>
      </c>
      <c r="I41" s="476">
        <v>6</v>
      </c>
      <c r="J41" s="476">
        <v>48</v>
      </c>
      <c r="K41" s="476">
        <v>15</v>
      </c>
      <c r="L41" s="461"/>
      <c r="M41" s="364"/>
      <c r="N41" s="365"/>
    </row>
    <row r="42" spans="1:14">
      <c r="A42" s="256"/>
      <c r="B42" s="363" t="s">
        <v>366</v>
      </c>
      <c r="C42" s="366">
        <f>+C41/C40</f>
        <v>1</v>
      </c>
      <c r="D42" s="366">
        <f t="shared" ref="D42:N42" si="1">+D41/D40</f>
        <v>1</v>
      </c>
      <c r="E42" s="366">
        <f t="shared" si="1"/>
        <v>1</v>
      </c>
      <c r="F42" s="366">
        <f t="shared" si="1"/>
        <v>0.875</v>
      </c>
      <c r="G42" s="366">
        <f t="shared" si="1"/>
        <v>0.91304347826086951</v>
      </c>
      <c r="H42" s="366">
        <f t="shared" si="1"/>
        <v>0.875</v>
      </c>
      <c r="I42" s="366">
        <f t="shared" si="1"/>
        <v>1</v>
      </c>
      <c r="J42" s="366">
        <f t="shared" si="1"/>
        <v>0.77419354838709675</v>
      </c>
      <c r="K42" s="366">
        <f t="shared" si="1"/>
        <v>0.78947368421052633</v>
      </c>
      <c r="L42" s="366" t="e">
        <f t="shared" si="1"/>
        <v>#DIV/0!</v>
      </c>
      <c r="M42" s="366" t="e">
        <f t="shared" si="1"/>
        <v>#DIV/0!</v>
      </c>
      <c r="N42" s="366" t="e">
        <f t="shared" si="1"/>
        <v>#DIV/0!</v>
      </c>
    </row>
    <row r="43" spans="1:14">
      <c r="A43" s="256"/>
      <c r="B43" s="363"/>
      <c r="C43" s="918">
        <f>+SUM(C41:E41)/SUM(C40:E40)</f>
        <v>1</v>
      </c>
      <c r="D43" s="919"/>
      <c r="E43" s="920"/>
      <c r="F43" s="918">
        <f>+SUM(F41:H41)/SUM(F40:H40)</f>
        <v>0.89090909090909087</v>
      </c>
      <c r="G43" s="919"/>
      <c r="H43" s="920"/>
      <c r="I43" s="918">
        <f>+SUM(I41:K41)/SUM(I40:K40)</f>
        <v>0.7931034482758621</v>
      </c>
      <c r="J43" s="919"/>
      <c r="K43" s="920"/>
      <c r="L43" s="918" t="e">
        <f>+SUM(L41:N41)/SUM(L40:N40)</f>
        <v>#DIV/0!</v>
      </c>
      <c r="M43" s="919"/>
      <c r="N43" s="920"/>
    </row>
    <row r="46" spans="1:14">
      <c r="B46" s="5" t="s">
        <v>432</v>
      </c>
    </row>
  </sheetData>
  <mergeCells count="53">
    <mergeCell ref="B24:F24"/>
    <mergeCell ref="G24:N24"/>
    <mergeCell ref="A18:B19"/>
    <mergeCell ref="G32:N32"/>
    <mergeCell ref="G34:N34"/>
    <mergeCell ref="A22:N22"/>
    <mergeCell ref="A20:B20"/>
    <mergeCell ref="B35:F35"/>
    <mergeCell ref="G35:N35"/>
    <mergeCell ref="B25:F25"/>
    <mergeCell ref="G25:N25"/>
    <mergeCell ref="B27:F27"/>
    <mergeCell ref="B28:F28"/>
    <mergeCell ref="G28:N28"/>
    <mergeCell ref="B26:F26"/>
    <mergeCell ref="G26:N26"/>
    <mergeCell ref="G27:N27"/>
    <mergeCell ref="C14:N14"/>
    <mergeCell ref="C15:N15"/>
    <mergeCell ref="A16:B16"/>
    <mergeCell ref="A21:B21"/>
    <mergeCell ref="C16:N16"/>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 ref="C43:E43"/>
    <mergeCell ref="F43:H43"/>
    <mergeCell ref="I43:K43"/>
    <mergeCell ref="L43:N43"/>
    <mergeCell ref="B29:F29"/>
    <mergeCell ref="B36:F36"/>
    <mergeCell ref="G36:N36"/>
    <mergeCell ref="B30:F30"/>
    <mergeCell ref="B31:F31"/>
    <mergeCell ref="B33:F33"/>
    <mergeCell ref="G33:N33"/>
    <mergeCell ref="B32:F32"/>
    <mergeCell ref="B34:F34"/>
    <mergeCell ref="G29:N29"/>
    <mergeCell ref="G30:N30"/>
    <mergeCell ref="G31:N31"/>
  </mergeCells>
  <hyperlinks>
    <hyperlink ref="O5" location="'Matriz Sta Ana'!A1" display="Volver" xr:uid="{8DAE2523-F883-4BF2-A897-6012B7485F45}"/>
  </hyperlinks>
  <pageMargins left="0.7" right="0.7" top="0.75" bottom="0.75" header="0.3" footer="0.3"/>
  <pageSetup scale="61" orientation="portrait" horizontalDpi="300" verticalDpi="300" r:id="rId1"/>
  <drawing r:id="rId2"/>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63F54-F076-4EB6-896A-367767B299AC}">
  <sheetPr>
    <tabColor rgb="FF92D050"/>
    <pageSetUpPr fitToPage="1"/>
  </sheetPr>
  <dimension ref="A1:S45"/>
  <sheetViews>
    <sheetView view="pageBreakPreview" zoomScaleNormal="100" zoomScaleSheetLayoutView="100" workbookViewId="0">
      <selection activeCell="M43" sqref="M43"/>
    </sheetView>
  </sheetViews>
  <sheetFormatPr baseColWidth="10" defaultColWidth="0" defaultRowHeight="16.5"/>
  <cols>
    <col min="1" max="1" width="7.42578125" style="5" customWidth="1"/>
    <col min="2" max="2" width="38.5703125" style="5" customWidth="1"/>
    <col min="3" max="8" width="7.140625" style="4" customWidth="1"/>
    <col min="9" max="9" width="6.42578125" style="4" customWidth="1"/>
    <col min="10" max="14" width="7.140625" style="4" customWidth="1"/>
    <col min="15" max="15" width="40.5703125" style="4" customWidth="1"/>
    <col min="16" max="16384" width="11.42578125" style="4" hidden="1"/>
  </cols>
  <sheetData>
    <row r="1" spans="1:15">
      <c r="A1" s="719" t="s">
        <v>113</v>
      </c>
      <c r="B1" s="720"/>
      <c r="C1" s="720"/>
      <c r="D1" s="720"/>
      <c r="E1" s="720"/>
      <c r="F1" s="720"/>
      <c r="G1" s="720"/>
      <c r="H1" s="720"/>
      <c r="I1" s="720"/>
      <c r="J1" s="721"/>
      <c r="K1" s="728" t="s">
        <v>114</v>
      </c>
      <c r="L1" s="729"/>
      <c r="M1" s="728"/>
      <c r="N1" s="729"/>
    </row>
    <row r="2" spans="1:15">
      <c r="A2" s="722"/>
      <c r="B2" s="723"/>
      <c r="C2" s="723"/>
      <c r="D2" s="723"/>
      <c r="E2" s="723"/>
      <c r="F2" s="723"/>
      <c r="G2" s="723"/>
      <c r="H2" s="723"/>
      <c r="I2" s="723"/>
      <c r="J2" s="724"/>
      <c r="K2" s="728" t="s">
        <v>115</v>
      </c>
      <c r="L2" s="729"/>
      <c r="M2" s="728">
        <v>0</v>
      </c>
      <c r="N2" s="729"/>
    </row>
    <row r="3" spans="1:15">
      <c r="A3" s="722"/>
      <c r="B3" s="723"/>
      <c r="C3" s="723"/>
      <c r="D3" s="723"/>
      <c r="E3" s="723"/>
      <c r="F3" s="723"/>
      <c r="G3" s="723"/>
      <c r="H3" s="723"/>
      <c r="I3" s="723"/>
      <c r="J3" s="724"/>
      <c r="K3" s="728" t="s">
        <v>116</v>
      </c>
      <c r="L3" s="729"/>
      <c r="M3" s="732"/>
      <c r="N3" s="733"/>
    </row>
    <row r="4" spans="1:15">
      <c r="A4" s="725"/>
      <c r="B4" s="726"/>
      <c r="C4" s="726"/>
      <c r="D4" s="726"/>
      <c r="E4" s="726"/>
      <c r="F4" s="726"/>
      <c r="G4" s="726"/>
      <c r="H4" s="726"/>
      <c r="I4" s="726"/>
      <c r="J4" s="727"/>
      <c r="K4" s="728" t="s">
        <v>117</v>
      </c>
      <c r="L4" s="729"/>
      <c r="M4" s="732" t="s">
        <v>118</v>
      </c>
      <c r="N4" s="733"/>
    </row>
    <row r="5" spans="1:15">
      <c r="A5" s="368"/>
      <c r="B5" s="368"/>
      <c r="C5" s="369"/>
      <c r="D5" s="369"/>
      <c r="E5" s="369"/>
      <c r="F5" s="369"/>
      <c r="G5" s="369"/>
      <c r="H5" s="369"/>
      <c r="I5" s="369"/>
      <c r="J5" s="369"/>
      <c r="K5" s="369"/>
      <c r="L5" s="369"/>
      <c r="M5" s="370"/>
      <c r="N5" s="371"/>
      <c r="O5" s="52" t="s">
        <v>120</v>
      </c>
    </row>
    <row r="6" spans="1:15">
      <c r="A6" s="368" t="s">
        <v>121</v>
      </c>
      <c r="B6" s="368"/>
      <c r="C6" s="997" t="s">
        <v>52</v>
      </c>
      <c r="D6" s="997"/>
      <c r="E6" s="997"/>
      <c r="F6" s="997"/>
      <c r="G6" s="997"/>
      <c r="H6" s="997"/>
      <c r="I6" s="997"/>
      <c r="J6" s="997"/>
      <c r="K6" s="997"/>
      <c r="L6" s="997"/>
      <c r="M6" s="997"/>
      <c r="N6" s="997"/>
    </row>
    <row r="7" spans="1:15">
      <c r="A7" s="368" t="s">
        <v>3</v>
      </c>
      <c r="B7" s="368"/>
      <c r="C7" s="989" t="s">
        <v>53</v>
      </c>
      <c r="D7" s="989"/>
      <c r="E7" s="989"/>
      <c r="F7" s="989"/>
      <c r="G7" s="989"/>
      <c r="H7" s="989"/>
      <c r="I7" s="989"/>
      <c r="J7" s="989"/>
      <c r="K7" s="989"/>
      <c r="L7" s="989"/>
      <c r="M7" s="989"/>
      <c r="N7" s="989"/>
    </row>
    <row r="8" spans="1:15">
      <c r="A8" s="368" t="s">
        <v>122</v>
      </c>
      <c r="B8" s="368"/>
      <c r="C8" s="372" t="s">
        <v>123</v>
      </c>
      <c r="D8" s="372"/>
      <c r="E8" s="372"/>
      <c r="F8" s="372"/>
      <c r="G8" s="372"/>
      <c r="H8" s="372"/>
      <c r="I8" s="372"/>
      <c r="J8" s="372"/>
      <c r="K8" s="372"/>
      <c r="L8" s="372"/>
      <c r="M8" s="372"/>
      <c r="N8" s="372"/>
    </row>
    <row r="9" spans="1:15">
      <c r="A9" s="368" t="s">
        <v>124</v>
      </c>
      <c r="B9" s="368"/>
      <c r="C9" s="998">
        <v>0.9</v>
      </c>
      <c r="D9" s="999"/>
      <c r="E9" s="999"/>
      <c r="F9" s="999"/>
      <c r="G9" s="999"/>
      <c r="H9" s="999"/>
      <c r="I9" s="999"/>
      <c r="J9" s="999"/>
      <c r="K9" s="999"/>
      <c r="L9" s="999"/>
      <c r="M9" s="999"/>
      <c r="N9" s="999"/>
    </row>
    <row r="10" spans="1:15">
      <c r="A10" s="368" t="s">
        <v>5</v>
      </c>
      <c r="B10" s="368"/>
      <c r="C10" s="373" t="s">
        <v>77</v>
      </c>
      <c r="D10" s="373"/>
      <c r="E10" s="373"/>
      <c r="F10" s="373"/>
      <c r="G10" s="373"/>
      <c r="H10" s="373"/>
      <c r="I10" s="373"/>
      <c r="J10" s="373"/>
      <c r="K10" s="373"/>
      <c r="L10" s="373"/>
      <c r="M10" s="373"/>
      <c r="N10" s="373"/>
    </row>
    <row r="11" spans="1:15">
      <c r="A11" s="368" t="s">
        <v>6</v>
      </c>
      <c r="B11" s="368"/>
      <c r="C11" s="373" t="s">
        <v>55</v>
      </c>
      <c r="D11" s="373"/>
      <c r="E11" s="373"/>
      <c r="F11" s="373"/>
      <c r="G11" s="373"/>
      <c r="H11" s="373"/>
      <c r="I11" s="373"/>
      <c r="J11" s="373"/>
      <c r="K11" s="373"/>
      <c r="L11" s="373"/>
      <c r="M11" s="373"/>
      <c r="N11" s="373"/>
    </row>
    <row r="12" spans="1:15">
      <c r="A12" s="368" t="s">
        <v>7</v>
      </c>
      <c r="B12" s="368"/>
      <c r="C12" s="989" t="s">
        <v>393</v>
      </c>
      <c r="D12" s="989"/>
      <c r="E12" s="989"/>
      <c r="F12" s="989"/>
      <c r="G12" s="989"/>
      <c r="H12" s="989"/>
      <c r="I12" s="989"/>
      <c r="J12" s="989"/>
      <c r="K12" s="989"/>
      <c r="L12" s="989"/>
      <c r="M12" s="989"/>
      <c r="N12" s="989"/>
    </row>
    <row r="13" spans="1:15">
      <c r="A13" s="1000" t="s">
        <v>125</v>
      </c>
      <c r="B13" s="1000"/>
      <c r="C13" s="989" t="s">
        <v>369</v>
      </c>
      <c r="D13" s="989"/>
      <c r="E13" s="989"/>
      <c r="F13" s="989"/>
      <c r="G13" s="989"/>
      <c r="H13" s="989"/>
      <c r="I13" s="989"/>
      <c r="J13" s="989"/>
      <c r="K13" s="989"/>
      <c r="L13" s="989"/>
      <c r="M13" s="989"/>
      <c r="N13" s="989"/>
    </row>
    <row r="14" spans="1:15">
      <c r="A14" s="368" t="s">
        <v>127</v>
      </c>
      <c r="B14" s="368"/>
      <c r="C14" s="989" t="s">
        <v>53</v>
      </c>
      <c r="D14" s="989"/>
      <c r="E14" s="989"/>
      <c r="F14" s="989"/>
      <c r="G14" s="989"/>
      <c r="H14" s="989"/>
      <c r="I14" s="989"/>
      <c r="J14" s="989"/>
      <c r="K14" s="989"/>
      <c r="L14" s="989"/>
      <c r="M14" s="989"/>
      <c r="N14" s="989"/>
    </row>
    <row r="15" spans="1:15">
      <c r="A15" s="368" t="s">
        <v>10</v>
      </c>
      <c r="B15" s="368"/>
      <c r="C15" s="990" t="s">
        <v>394</v>
      </c>
      <c r="D15" s="990"/>
      <c r="E15" s="990"/>
      <c r="F15" s="990"/>
      <c r="G15" s="990"/>
      <c r="H15" s="990"/>
      <c r="I15" s="990"/>
      <c r="J15" s="990"/>
      <c r="K15" s="990"/>
      <c r="L15" s="990"/>
      <c r="M15" s="990"/>
      <c r="N15" s="990"/>
    </row>
    <row r="16" spans="1:15" ht="20.25" customHeight="1">
      <c r="A16" s="991" t="s">
        <v>443</v>
      </c>
      <c r="B16" s="991"/>
      <c r="C16" s="708"/>
      <c r="D16" s="709"/>
      <c r="E16" s="709"/>
      <c r="F16" s="709"/>
      <c r="G16" s="709"/>
      <c r="H16" s="709"/>
      <c r="I16" s="709"/>
      <c r="J16" s="709"/>
      <c r="K16" s="709"/>
      <c r="L16" s="709"/>
      <c r="M16" s="709"/>
      <c r="N16" s="709"/>
    </row>
    <row r="17" spans="1:14" ht="15" customHeight="1">
      <c r="A17" s="374"/>
      <c r="B17" s="374"/>
      <c r="C17" s="375"/>
      <c r="D17" s="375"/>
      <c r="E17" s="375"/>
      <c r="F17" s="375"/>
      <c r="G17" s="375"/>
      <c r="H17" s="375"/>
      <c r="I17" s="375"/>
      <c r="J17" s="368"/>
      <c r="K17" s="368"/>
      <c r="L17" s="368"/>
      <c r="M17" s="368"/>
      <c r="N17" s="368"/>
    </row>
    <row r="18" spans="1:14" s="291" customFormat="1">
      <c r="A18" s="992"/>
      <c r="B18" s="993"/>
      <c r="C18" s="994"/>
      <c r="D18" s="995"/>
      <c r="E18" s="996"/>
      <c r="F18" s="994"/>
      <c r="G18" s="995"/>
      <c r="H18" s="996"/>
      <c r="I18" s="994"/>
      <c r="J18" s="995"/>
      <c r="K18" s="996"/>
      <c r="L18" s="994"/>
      <c r="M18" s="995"/>
      <c r="N18" s="996"/>
    </row>
    <row r="19" spans="1:14">
      <c r="A19" s="391"/>
      <c r="B19" s="392" t="s">
        <v>129</v>
      </c>
      <c r="C19" s="393" t="s">
        <v>130</v>
      </c>
      <c r="D19" s="393" t="s">
        <v>131</v>
      </c>
      <c r="E19" s="393" t="s">
        <v>132</v>
      </c>
      <c r="F19" s="393" t="s">
        <v>133</v>
      </c>
      <c r="G19" s="393" t="s">
        <v>134</v>
      </c>
      <c r="H19" s="393" t="s">
        <v>135</v>
      </c>
      <c r="I19" s="393" t="s">
        <v>136</v>
      </c>
      <c r="J19" s="393" t="s">
        <v>137</v>
      </c>
      <c r="K19" s="393" t="s">
        <v>138</v>
      </c>
      <c r="L19" s="393" t="s">
        <v>139</v>
      </c>
      <c r="M19" s="393" t="s">
        <v>140</v>
      </c>
      <c r="N19" s="393" t="s">
        <v>141</v>
      </c>
    </row>
    <row r="20" spans="1:14">
      <c r="A20" s="974" t="s">
        <v>486</v>
      </c>
      <c r="B20" s="975"/>
      <c r="C20" s="376" t="e">
        <f t="shared" ref="C20:K20" si="0">+$L$20</f>
        <v>#DIV/0!</v>
      </c>
      <c r="D20" s="376" t="e">
        <f t="shared" si="0"/>
        <v>#DIV/0!</v>
      </c>
      <c r="E20" s="376" t="e">
        <f t="shared" si="0"/>
        <v>#DIV/0!</v>
      </c>
      <c r="F20" s="376" t="e">
        <f t="shared" si="0"/>
        <v>#DIV/0!</v>
      </c>
      <c r="G20" s="376" t="e">
        <f t="shared" si="0"/>
        <v>#DIV/0!</v>
      </c>
      <c r="H20" s="376" t="e">
        <f t="shared" si="0"/>
        <v>#DIV/0!</v>
      </c>
      <c r="I20" s="376" t="e">
        <f t="shared" si="0"/>
        <v>#DIV/0!</v>
      </c>
      <c r="J20" s="376" t="e">
        <f t="shared" si="0"/>
        <v>#DIV/0!</v>
      </c>
      <c r="K20" s="376" t="e">
        <f t="shared" si="0"/>
        <v>#DIV/0!</v>
      </c>
      <c r="L20" s="376" t="e">
        <f>+I44</f>
        <v>#DIV/0!</v>
      </c>
      <c r="M20" s="376">
        <v>0.96</v>
      </c>
      <c r="N20" s="376">
        <v>0.96</v>
      </c>
    </row>
    <row r="21" spans="1:14">
      <c r="A21" s="377" t="s">
        <v>485</v>
      </c>
      <c r="B21" s="378"/>
      <c r="C21" s="376">
        <f t="shared" ref="C21:K21" si="1">+$L$21</f>
        <v>0.9</v>
      </c>
      <c r="D21" s="376">
        <f t="shared" si="1"/>
        <v>0.9</v>
      </c>
      <c r="E21" s="376">
        <f t="shared" si="1"/>
        <v>0.9</v>
      </c>
      <c r="F21" s="376">
        <f t="shared" si="1"/>
        <v>0.9</v>
      </c>
      <c r="G21" s="376">
        <f t="shared" si="1"/>
        <v>0.9</v>
      </c>
      <c r="H21" s="376">
        <f t="shared" si="1"/>
        <v>0.9</v>
      </c>
      <c r="I21" s="376">
        <f t="shared" si="1"/>
        <v>0.9</v>
      </c>
      <c r="J21" s="376">
        <f t="shared" si="1"/>
        <v>0.9</v>
      </c>
      <c r="K21" s="376">
        <f t="shared" si="1"/>
        <v>0.9</v>
      </c>
      <c r="L21" s="376">
        <f>+C9</f>
        <v>0.9</v>
      </c>
      <c r="M21" s="376">
        <v>0.9</v>
      </c>
      <c r="N21" s="376">
        <v>0.9</v>
      </c>
    </row>
    <row r="22" spans="1:14">
      <c r="A22" s="368"/>
      <c r="B22" s="368"/>
      <c r="C22" s="379"/>
      <c r="D22" s="379"/>
      <c r="E22" s="379"/>
      <c r="F22" s="379"/>
      <c r="G22" s="379"/>
      <c r="H22" s="379"/>
      <c r="I22" s="379"/>
      <c r="J22" s="379"/>
      <c r="K22" s="379"/>
      <c r="L22" s="379"/>
      <c r="M22" s="379"/>
      <c r="N22" s="380"/>
    </row>
    <row r="23" spans="1:14" s="295" customFormat="1">
      <c r="A23" s="381" t="s">
        <v>144</v>
      </c>
      <c r="B23" s="382"/>
      <c r="C23" s="383"/>
      <c r="D23" s="383"/>
      <c r="E23" s="383"/>
      <c r="F23" s="383"/>
      <c r="G23" s="383"/>
      <c r="H23" s="383"/>
      <c r="I23" s="383"/>
      <c r="J23" s="383"/>
      <c r="K23" s="383"/>
      <c r="L23" s="383"/>
      <c r="M23" s="383"/>
      <c r="N23" s="384"/>
    </row>
    <row r="24" spans="1:14" ht="321" customHeight="1">
      <c r="A24" s="368"/>
      <c r="B24" s="368"/>
      <c r="C24" s="369"/>
      <c r="D24" s="369"/>
      <c r="E24" s="369"/>
      <c r="F24" s="369"/>
      <c r="G24" s="369"/>
      <c r="H24" s="369"/>
      <c r="I24" s="369"/>
      <c r="J24" s="369"/>
      <c r="K24" s="369"/>
      <c r="L24" s="369"/>
      <c r="M24" s="369"/>
      <c r="N24" s="369"/>
    </row>
    <row r="25" spans="1:14">
      <c r="A25" s="385" t="s">
        <v>129</v>
      </c>
      <c r="B25" s="976" t="s">
        <v>145</v>
      </c>
      <c r="C25" s="976"/>
      <c r="D25" s="976"/>
      <c r="E25" s="976"/>
      <c r="F25" s="976"/>
      <c r="G25" s="977" t="s">
        <v>146</v>
      </c>
      <c r="H25" s="978"/>
      <c r="I25" s="978"/>
      <c r="J25" s="978"/>
      <c r="K25" s="978"/>
      <c r="L25" s="978"/>
      <c r="M25" s="978"/>
      <c r="N25" s="979"/>
    </row>
    <row r="26" spans="1:14" s="19" customFormat="1">
      <c r="A26" s="386" t="s">
        <v>259</v>
      </c>
      <c r="B26" s="980"/>
      <c r="C26" s="981"/>
      <c r="D26" s="981"/>
      <c r="E26" s="981"/>
      <c r="F26" s="982"/>
      <c r="G26" s="980"/>
      <c r="H26" s="981"/>
      <c r="I26" s="981"/>
      <c r="J26" s="981"/>
      <c r="K26" s="981"/>
      <c r="L26" s="981"/>
      <c r="M26" s="981"/>
      <c r="N26" s="982"/>
    </row>
    <row r="27" spans="1:14" s="19" customFormat="1">
      <c r="A27" s="386" t="s">
        <v>260</v>
      </c>
      <c r="B27" s="983"/>
      <c r="C27" s="984"/>
      <c r="D27" s="984"/>
      <c r="E27" s="984"/>
      <c r="F27" s="985"/>
      <c r="G27" s="983"/>
      <c r="H27" s="984"/>
      <c r="I27" s="984"/>
      <c r="J27" s="984"/>
      <c r="K27" s="984"/>
      <c r="L27" s="984"/>
      <c r="M27" s="984"/>
      <c r="N27" s="985"/>
    </row>
    <row r="28" spans="1:14" s="19" customFormat="1">
      <c r="A28" s="386" t="s">
        <v>261</v>
      </c>
      <c r="B28" s="983"/>
      <c r="C28" s="984"/>
      <c r="D28" s="984"/>
      <c r="E28" s="984"/>
      <c r="F28" s="985"/>
      <c r="G28" s="983"/>
      <c r="H28" s="984"/>
      <c r="I28" s="984"/>
      <c r="J28" s="984"/>
      <c r="K28" s="984"/>
      <c r="L28" s="984"/>
      <c r="M28" s="984"/>
      <c r="N28" s="985"/>
    </row>
    <row r="29" spans="1:14" s="19" customFormat="1">
      <c r="A29" s="386" t="s">
        <v>262</v>
      </c>
      <c r="B29" s="983"/>
      <c r="C29" s="984"/>
      <c r="D29" s="984"/>
      <c r="E29" s="984"/>
      <c r="F29" s="985"/>
      <c r="G29" s="983"/>
      <c r="H29" s="984"/>
      <c r="I29" s="984"/>
      <c r="J29" s="984"/>
      <c r="K29" s="984"/>
      <c r="L29" s="984"/>
      <c r="M29" s="984"/>
      <c r="N29" s="985"/>
    </row>
    <row r="30" spans="1:14" s="19" customFormat="1">
      <c r="A30" s="386" t="s">
        <v>263</v>
      </c>
      <c r="B30" s="983"/>
      <c r="C30" s="984"/>
      <c r="D30" s="984"/>
      <c r="E30" s="984"/>
      <c r="F30" s="985"/>
      <c r="G30" s="983"/>
      <c r="H30" s="984"/>
      <c r="I30" s="984"/>
      <c r="J30" s="984"/>
      <c r="K30" s="984"/>
      <c r="L30" s="984"/>
      <c r="M30" s="984"/>
      <c r="N30" s="985"/>
    </row>
    <row r="31" spans="1:14" s="19" customFormat="1">
      <c r="A31" s="386" t="s">
        <v>264</v>
      </c>
      <c r="B31" s="983"/>
      <c r="C31" s="984"/>
      <c r="D31" s="984"/>
      <c r="E31" s="984"/>
      <c r="F31" s="985"/>
      <c r="G31" s="983"/>
      <c r="H31" s="984"/>
      <c r="I31" s="984"/>
      <c r="J31" s="984"/>
      <c r="K31" s="984"/>
      <c r="L31" s="984"/>
      <c r="M31" s="984"/>
      <c r="N31" s="985"/>
    </row>
    <row r="32" spans="1:14" s="19" customFormat="1">
      <c r="A32" s="386" t="s">
        <v>265</v>
      </c>
      <c r="B32" s="983"/>
      <c r="C32" s="984"/>
      <c r="D32" s="984"/>
      <c r="E32" s="984"/>
      <c r="F32" s="985"/>
      <c r="G32" s="983"/>
      <c r="H32" s="984"/>
      <c r="I32" s="984"/>
      <c r="J32" s="984"/>
      <c r="K32" s="984"/>
      <c r="L32" s="984"/>
      <c r="M32" s="984"/>
      <c r="N32" s="985"/>
    </row>
    <row r="33" spans="1:19" s="19" customFormat="1">
      <c r="A33" s="386" t="s">
        <v>471</v>
      </c>
      <c r="B33" s="983"/>
      <c r="C33" s="984"/>
      <c r="D33" s="984"/>
      <c r="E33" s="984"/>
      <c r="F33" s="985"/>
      <c r="G33" s="983"/>
      <c r="H33" s="984"/>
      <c r="I33" s="984"/>
      <c r="J33" s="984"/>
      <c r="K33" s="984"/>
      <c r="L33" s="984"/>
      <c r="M33" s="984"/>
      <c r="N33" s="985"/>
    </row>
    <row r="34" spans="1:19" s="19" customFormat="1">
      <c r="A34" s="386" t="s">
        <v>472</v>
      </c>
      <c r="B34" s="983"/>
      <c r="C34" s="984"/>
      <c r="D34" s="984"/>
      <c r="E34" s="984"/>
      <c r="F34" s="985"/>
      <c r="G34" s="983"/>
      <c r="H34" s="984"/>
      <c r="I34" s="984"/>
      <c r="J34" s="984"/>
      <c r="K34" s="984"/>
      <c r="L34" s="984"/>
      <c r="M34" s="984"/>
      <c r="N34" s="985"/>
    </row>
    <row r="35" spans="1:19" s="19" customFormat="1">
      <c r="A35" s="386" t="s">
        <v>473</v>
      </c>
      <c r="B35" s="983"/>
      <c r="C35" s="984"/>
      <c r="D35" s="984"/>
      <c r="E35" s="984"/>
      <c r="F35" s="985"/>
      <c r="G35" s="983"/>
      <c r="H35" s="984"/>
      <c r="I35" s="984"/>
      <c r="J35" s="984"/>
      <c r="K35" s="984"/>
      <c r="L35" s="984"/>
      <c r="M35" s="984"/>
      <c r="N35" s="985"/>
    </row>
    <row r="36" spans="1:19" s="19" customFormat="1">
      <c r="A36" s="386" t="s">
        <v>269</v>
      </c>
      <c r="B36" s="983"/>
      <c r="C36" s="984"/>
      <c r="D36" s="984"/>
      <c r="E36" s="984"/>
      <c r="F36" s="985"/>
      <c r="G36" s="983"/>
      <c r="H36" s="984"/>
      <c r="I36" s="984"/>
      <c r="J36" s="984"/>
      <c r="K36" s="984"/>
      <c r="L36" s="984"/>
      <c r="M36" s="984"/>
      <c r="N36" s="985"/>
    </row>
    <row r="37" spans="1:19" s="19" customFormat="1">
      <c r="A37" s="386" t="s">
        <v>270</v>
      </c>
      <c r="B37" s="986"/>
      <c r="C37" s="987"/>
      <c r="D37" s="987"/>
      <c r="E37" s="987"/>
      <c r="F37" s="988"/>
      <c r="G37" s="986"/>
      <c r="H37" s="987"/>
      <c r="I37" s="987"/>
      <c r="J37" s="987"/>
      <c r="K37" s="987"/>
      <c r="L37" s="987"/>
      <c r="M37" s="987"/>
      <c r="N37" s="988"/>
    </row>
    <row r="38" spans="1:19">
      <c r="C38" s="124" t="s">
        <v>130</v>
      </c>
      <c r="D38" s="124" t="s">
        <v>131</v>
      </c>
      <c r="E38" s="124" t="s">
        <v>132</v>
      </c>
      <c r="F38" s="124" t="s">
        <v>133</v>
      </c>
      <c r="G38" s="124" t="s">
        <v>134</v>
      </c>
      <c r="H38" s="124" t="s">
        <v>135</v>
      </c>
      <c r="I38" s="124" t="s">
        <v>136</v>
      </c>
      <c r="J38" s="124" t="s">
        <v>137</v>
      </c>
      <c r="K38" s="124" t="s">
        <v>138</v>
      </c>
      <c r="L38" s="124" t="s">
        <v>139</v>
      </c>
      <c r="M38" s="124" t="s">
        <v>140</v>
      </c>
      <c r="N38" s="124" t="s">
        <v>141</v>
      </c>
    </row>
    <row r="39" spans="1:19">
      <c r="B39" s="294" t="s">
        <v>52</v>
      </c>
      <c r="C39" s="292" t="e">
        <f>+L20</f>
        <v>#DIV/0!</v>
      </c>
      <c r="D39" s="296" t="e">
        <f>+C39</f>
        <v>#DIV/0!</v>
      </c>
      <c r="E39" s="296" t="e">
        <f t="shared" ref="E39:N40" si="2">+D39</f>
        <v>#DIV/0!</v>
      </c>
      <c r="F39" s="296" t="e">
        <f t="shared" si="2"/>
        <v>#DIV/0!</v>
      </c>
      <c r="G39" s="296" t="e">
        <f t="shared" si="2"/>
        <v>#DIV/0!</v>
      </c>
      <c r="H39" s="296" t="e">
        <f t="shared" si="2"/>
        <v>#DIV/0!</v>
      </c>
      <c r="I39" s="296" t="e">
        <f t="shared" si="2"/>
        <v>#DIV/0!</v>
      </c>
      <c r="J39" s="296" t="e">
        <f t="shared" si="2"/>
        <v>#DIV/0!</v>
      </c>
      <c r="K39" s="296" t="e">
        <f t="shared" si="2"/>
        <v>#DIV/0!</v>
      </c>
      <c r="L39" s="296" t="e">
        <f t="shared" si="2"/>
        <v>#DIV/0!</v>
      </c>
      <c r="M39" s="296" t="e">
        <f t="shared" si="2"/>
        <v>#DIV/0!</v>
      </c>
      <c r="N39" s="296" t="e">
        <f t="shared" si="2"/>
        <v>#DIV/0!</v>
      </c>
    </row>
    <row r="40" spans="1:19">
      <c r="B40" s="293" t="s">
        <v>143</v>
      </c>
      <c r="C40" s="292">
        <f>+L21</f>
        <v>0.9</v>
      </c>
      <c r="D40" s="296">
        <f>+C40</f>
        <v>0.9</v>
      </c>
      <c r="E40" s="296">
        <f t="shared" si="2"/>
        <v>0.9</v>
      </c>
      <c r="F40" s="296">
        <f t="shared" si="2"/>
        <v>0.9</v>
      </c>
      <c r="G40" s="296">
        <f t="shared" si="2"/>
        <v>0.9</v>
      </c>
      <c r="H40" s="296">
        <f t="shared" si="2"/>
        <v>0.9</v>
      </c>
      <c r="I40" s="296">
        <f t="shared" si="2"/>
        <v>0.9</v>
      </c>
      <c r="J40" s="296">
        <f t="shared" si="2"/>
        <v>0.9</v>
      </c>
      <c r="K40" s="296">
        <f t="shared" si="2"/>
        <v>0.9</v>
      </c>
      <c r="L40" s="296">
        <f t="shared" si="2"/>
        <v>0.9</v>
      </c>
      <c r="M40" s="296">
        <f t="shared" si="2"/>
        <v>0.9</v>
      </c>
      <c r="N40" s="296">
        <f t="shared" si="2"/>
        <v>0.9</v>
      </c>
    </row>
    <row r="41" spans="1:19">
      <c r="B41" s="196"/>
      <c r="C41" s="197"/>
      <c r="D41" s="197"/>
      <c r="E41" s="197"/>
      <c r="F41" s="197"/>
      <c r="G41" s="197"/>
      <c r="H41" s="198"/>
      <c r="I41" s="198"/>
      <c r="J41" s="198"/>
      <c r="K41" s="198"/>
      <c r="L41" s="198"/>
      <c r="M41" s="198"/>
      <c r="N41" s="198"/>
    </row>
    <row r="42" spans="1:19">
      <c r="B42" s="196"/>
      <c r="C42" s="541"/>
      <c r="D42" s="541"/>
      <c r="E42" s="541"/>
      <c r="F42" s="541"/>
      <c r="G42" s="541"/>
      <c r="H42" s="541"/>
      <c r="I42" s="198"/>
      <c r="J42" s="198"/>
      <c r="K42" s="198"/>
      <c r="L42" s="198"/>
      <c r="M42" s="198"/>
      <c r="N42" s="198"/>
      <c r="Q42" s="4">
        <v>1</v>
      </c>
      <c r="S42" s="4">
        <v>4</v>
      </c>
    </row>
    <row r="43" spans="1:19" ht="220.5" customHeight="1">
      <c r="B43" s="175"/>
      <c r="C43" s="544" t="s">
        <v>631</v>
      </c>
      <c r="D43" s="544" t="s">
        <v>632</v>
      </c>
      <c r="E43" s="544" t="s">
        <v>633</v>
      </c>
      <c r="F43" s="544" t="s">
        <v>634</v>
      </c>
      <c r="G43" s="544" t="s">
        <v>635</v>
      </c>
      <c r="H43" s="544" t="s">
        <v>636</v>
      </c>
      <c r="I43" s="617" t="s">
        <v>637</v>
      </c>
      <c r="J43" s="200"/>
      <c r="K43" s="200"/>
      <c r="L43" s="200"/>
      <c r="M43" s="200"/>
      <c r="N43" s="200"/>
      <c r="Q43" s="4">
        <v>1</v>
      </c>
      <c r="S43" s="4">
        <v>4</v>
      </c>
    </row>
    <row r="44" spans="1:19">
      <c r="B44" s="545" t="s">
        <v>638</v>
      </c>
      <c r="C44" s="546"/>
      <c r="D44" s="546"/>
      <c r="E44" s="546"/>
      <c r="F44" s="546"/>
      <c r="G44" s="546"/>
      <c r="H44" s="546"/>
      <c r="I44" s="547" t="e">
        <f>AVERAGE(C44:H44)</f>
        <v>#DIV/0!</v>
      </c>
      <c r="J44" s="200"/>
      <c r="K44" s="200"/>
      <c r="L44" s="200"/>
      <c r="M44" s="200"/>
      <c r="N44" s="200"/>
    </row>
    <row r="45" spans="1:19">
      <c r="B45" s="196"/>
      <c r="C45" s="201"/>
      <c r="D45" s="201"/>
      <c r="E45" s="201"/>
      <c r="F45" s="201"/>
      <c r="G45" s="201"/>
      <c r="H45" s="201"/>
      <c r="I45" s="201"/>
      <c r="J45" s="201"/>
      <c r="K45" s="201"/>
      <c r="L45" s="201"/>
      <c r="M45" s="201"/>
      <c r="N45" s="201"/>
    </row>
  </sheetData>
  <sheetProtection formatCells="0" formatColumns="0" formatRows="0"/>
  <mergeCells count="29">
    <mergeCell ref="A1:J4"/>
    <mergeCell ref="K1:L1"/>
    <mergeCell ref="M1:N1"/>
    <mergeCell ref="K2:L2"/>
    <mergeCell ref="M2:N2"/>
    <mergeCell ref="K3:L3"/>
    <mergeCell ref="M3:N3"/>
    <mergeCell ref="K4:L4"/>
    <mergeCell ref="M4:N4"/>
    <mergeCell ref="C6:N6"/>
    <mergeCell ref="C7:N7"/>
    <mergeCell ref="C9:N9"/>
    <mergeCell ref="C12:N12"/>
    <mergeCell ref="A13:B13"/>
    <mergeCell ref="C13:N13"/>
    <mergeCell ref="C14:N14"/>
    <mergeCell ref="C15:N15"/>
    <mergeCell ref="A16:B16"/>
    <mergeCell ref="C16:N16"/>
    <mergeCell ref="A18:B18"/>
    <mergeCell ref="C18:E18"/>
    <mergeCell ref="F18:H18"/>
    <mergeCell ref="I18:K18"/>
    <mergeCell ref="L18:N18"/>
    <mergeCell ref="A20:B20"/>
    <mergeCell ref="B25:F25"/>
    <mergeCell ref="G25:N25"/>
    <mergeCell ref="B26:F37"/>
    <mergeCell ref="G26:N37"/>
  </mergeCells>
  <hyperlinks>
    <hyperlink ref="O5" location="'Matriz Sta Ana'!A1" display="Volver" xr:uid="{37DDD939-6B5B-4F98-8468-672017EEE0C2}"/>
  </hyperlinks>
  <pageMargins left="0.7" right="0.7" top="0.75" bottom="0.75" header="0.3" footer="0.3"/>
  <pageSetup scale="68" fitToHeight="0" orientation="portrait" r:id="rId1"/>
  <rowBreaks count="1" manualBreakCount="1">
    <brk id="24" max="13" man="1"/>
  </rowBreaks>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E25BA-8BDD-4711-92BE-79B36F79DD59}">
  <sheetPr>
    <tabColor rgb="FF8DD9EB"/>
  </sheetPr>
  <dimension ref="A1:O47"/>
  <sheetViews>
    <sheetView view="pageBreakPreview" zoomScaleNormal="55" zoomScaleSheetLayoutView="100" workbookViewId="0">
      <selection activeCell="D10" sqref="D10"/>
    </sheetView>
  </sheetViews>
  <sheetFormatPr baseColWidth="10" defaultColWidth="11.42578125" defaultRowHeight="16.5"/>
  <cols>
    <col min="1" max="1" width="17.5703125" style="5" customWidth="1"/>
    <col min="2" max="2" width="33.5703125" style="5" customWidth="1"/>
    <col min="3" max="3" width="7.140625" style="4" customWidth="1"/>
    <col min="4" max="4" width="9.42578125" style="4" customWidth="1"/>
    <col min="5" max="5" width="8.85546875" style="4" customWidth="1"/>
    <col min="6" max="6" width="11.5703125" style="4" customWidth="1"/>
    <col min="7" max="7" width="7.140625" style="4" customWidth="1"/>
    <col min="8" max="8" width="11.5703125" style="4" customWidth="1"/>
    <col min="9" max="9" width="7.140625" style="4" customWidth="1"/>
    <col min="10" max="10" width="12.42578125" style="4" customWidth="1"/>
    <col min="11" max="12" width="7.140625" style="4" customWidth="1"/>
    <col min="13" max="13" width="6.85546875" style="4" customWidth="1"/>
    <col min="14" max="14" width="7.140625" style="4" customWidth="1"/>
    <col min="15" max="15" width="7" style="4" customWidth="1"/>
    <col min="16" max="16384" width="11.42578125" style="4"/>
  </cols>
  <sheetData>
    <row r="1" spans="1:15" ht="21.75" customHeight="1">
      <c r="A1" s="1001" t="s">
        <v>113</v>
      </c>
      <c r="B1" s="1002"/>
      <c r="C1" s="1002"/>
      <c r="D1" s="1002"/>
      <c r="E1" s="1002"/>
      <c r="F1" s="1002"/>
      <c r="G1" s="1002"/>
      <c r="H1" s="1002"/>
      <c r="I1" s="1002"/>
      <c r="J1" s="1003"/>
      <c r="K1" s="728" t="s">
        <v>114</v>
      </c>
      <c r="L1" s="729"/>
      <c r="M1" s="728"/>
      <c r="N1" s="729"/>
    </row>
    <row r="2" spans="1:15" ht="21.75" customHeight="1">
      <c r="A2" s="1004"/>
      <c r="B2" s="1005"/>
      <c r="C2" s="1005"/>
      <c r="D2" s="1005"/>
      <c r="E2" s="1005"/>
      <c r="F2" s="1005"/>
      <c r="G2" s="1005"/>
      <c r="H2" s="1005"/>
      <c r="I2" s="1005"/>
      <c r="J2" s="1006"/>
      <c r="K2" s="728" t="s">
        <v>115</v>
      </c>
      <c r="L2" s="729"/>
      <c r="M2" s="728">
        <v>0</v>
      </c>
      <c r="N2" s="729"/>
    </row>
    <row r="3" spans="1:15" ht="21.75" customHeight="1">
      <c r="A3" s="1004"/>
      <c r="B3" s="1005"/>
      <c r="C3" s="1005"/>
      <c r="D3" s="1005"/>
      <c r="E3" s="1005"/>
      <c r="F3" s="1005"/>
      <c r="G3" s="1005"/>
      <c r="H3" s="1005"/>
      <c r="I3" s="1005"/>
      <c r="J3" s="1006"/>
      <c r="K3" s="728" t="s">
        <v>116</v>
      </c>
      <c r="L3" s="729"/>
      <c r="M3" s="732">
        <v>43464</v>
      </c>
      <c r="N3" s="733"/>
    </row>
    <row r="4" spans="1:15" ht="21.75" customHeight="1">
      <c r="A4" s="1007"/>
      <c r="B4" s="1008"/>
      <c r="C4" s="1008"/>
      <c r="D4" s="1008"/>
      <c r="E4" s="1008"/>
      <c r="F4" s="1008"/>
      <c r="G4" s="1008"/>
      <c r="H4" s="1008"/>
      <c r="I4" s="1008"/>
      <c r="J4" s="1009"/>
      <c r="K4" s="728" t="s">
        <v>117</v>
      </c>
      <c r="L4" s="729"/>
      <c r="M4" s="732" t="s">
        <v>118</v>
      </c>
      <c r="N4" s="733"/>
    </row>
    <row r="5" spans="1:15" ht="27.75" customHeight="1">
      <c r="A5" s="256"/>
      <c r="B5" s="256"/>
      <c r="C5" s="280"/>
      <c r="D5" s="280"/>
      <c r="E5" s="280"/>
      <c r="F5" s="280"/>
      <c r="G5" s="280"/>
      <c r="H5" s="280"/>
      <c r="I5" s="280"/>
      <c r="J5" s="280"/>
      <c r="K5" s="280"/>
      <c r="L5" s="280"/>
      <c r="M5" s="281"/>
      <c r="N5" s="282" t="s">
        <v>119</v>
      </c>
      <c r="O5" s="52" t="s">
        <v>120</v>
      </c>
    </row>
    <row r="6" spans="1:15" ht="18" customHeight="1">
      <c r="A6" s="256" t="s">
        <v>121</v>
      </c>
      <c r="B6" s="256"/>
      <c r="C6" s="887" t="s">
        <v>367</v>
      </c>
      <c r="D6" s="887"/>
      <c r="E6" s="887"/>
      <c r="F6" s="887"/>
      <c r="G6" s="887"/>
      <c r="H6" s="887"/>
      <c r="I6" s="887"/>
      <c r="J6" s="887"/>
      <c r="K6" s="887"/>
      <c r="L6" s="887"/>
      <c r="M6" s="887"/>
      <c r="N6" s="887"/>
    </row>
    <row r="7" spans="1:15" ht="18" customHeight="1">
      <c r="A7" s="256" t="s">
        <v>3</v>
      </c>
      <c r="B7" s="256"/>
      <c r="C7" s="888" t="s">
        <v>368</v>
      </c>
      <c r="D7" s="888"/>
      <c r="E7" s="888"/>
      <c r="F7" s="888"/>
      <c r="G7" s="888"/>
      <c r="H7" s="888"/>
      <c r="I7" s="888"/>
      <c r="J7" s="888"/>
      <c r="K7" s="888"/>
      <c r="L7" s="888"/>
      <c r="M7" s="888"/>
      <c r="N7" s="888"/>
    </row>
    <row r="8" spans="1:15">
      <c r="A8" s="256" t="s">
        <v>122</v>
      </c>
      <c r="B8" s="256"/>
      <c r="C8" s="257" t="s">
        <v>123</v>
      </c>
      <c r="D8" s="257"/>
      <c r="E8" s="257"/>
      <c r="F8" s="257"/>
      <c r="G8" s="257"/>
      <c r="H8" s="257"/>
      <c r="I8" s="257"/>
      <c r="J8" s="257"/>
      <c r="K8" s="257"/>
      <c r="L8" s="257"/>
      <c r="M8" s="257"/>
      <c r="N8" s="257"/>
    </row>
    <row r="9" spans="1:15" ht="16.5" customHeight="1">
      <c r="A9" s="256" t="s">
        <v>124</v>
      </c>
      <c r="B9" s="256"/>
      <c r="C9" s="888" t="s">
        <v>528</v>
      </c>
      <c r="D9" s="888"/>
      <c r="E9" s="888"/>
      <c r="F9" s="888"/>
      <c r="G9" s="888"/>
      <c r="H9" s="888"/>
      <c r="I9" s="888"/>
      <c r="J9" s="888"/>
      <c r="K9" s="888"/>
      <c r="L9" s="888"/>
      <c r="M9" s="888"/>
      <c r="N9" s="888"/>
    </row>
    <row r="10" spans="1:15">
      <c r="A10" s="256" t="s">
        <v>5</v>
      </c>
      <c r="B10" s="256"/>
      <c r="C10" s="258" t="s">
        <v>27</v>
      </c>
      <c r="D10" s="258"/>
      <c r="E10" s="258"/>
      <c r="F10" s="258"/>
      <c r="G10" s="258"/>
      <c r="H10" s="258"/>
      <c r="I10" s="258"/>
      <c r="J10" s="258"/>
      <c r="K10" s="258"/>
      <c r="L10" s="258"/>
      <c r="M10" s="258"/>
      <c r="N10" s="258"/>
    </row>
    <row r="11" spans="1:15">
      <c r="A11" s="256" t="s">
        <v>6</v>
      </c>
      <c r="B11" s="256"/>
      <c r="C11" s="258" t="s">
        <v>369</v>
      </c>
      <c r="D11" s="258"/>
      <c r="E11" s="258"/>
      <c r="F11" s="258"/>
      <c r="G11" s="258"/>
      <c r="H11" s="258"/>
      <c r="I11" s="258"/>
      <c r="J11" s="258"/>
      <c r="K11" s="258"/>
      <c r="L11" s="258"/>
      <c r="M11" s="258"/>
      <c r="N11" s="258"/>
    </row>
    <row r="12" spans="1:15" ht="18.75" customHeight="1">
      <c r="A12" s="256" t="s">
        <v>7</v>
      </c>
      <c r="B12" s="256"/>
      <c r="C12" s="888" t="s">
        <v>370</v>
      </c>
      <c r="D12" s="888"/>
      <c r="E12" s="888"/>
      <c r="F12" s="888"/>
      <c r="G12" s="888"/>
      <c r="H12" s="888"/>
      <c r="I12" s="888"/>
      <c r="J12" s="888"/>
      <c r="K12" s="888"/>
      <c r="L12" s="888"/>
      <c r="M12" s="888"/>
      <c r="N12" s="888"/>
    </row>
    <row r="13" spans="1:15" ht="22.5" customHeight="1">
      <c r="A13" s="891" t="s">
        <v>125</v>
      </c>
      <c r="B13" s="891"/>
      <c r="C13" s="888" t="s">
        <v>369</v>
      </c>
      <c r="D13" s="888"/>
      <c r="E13" s="888"/>
      <c r="F13" s="888"/>
      <c r="G13" s="888"/>
      <c r="H13" s="888"/>
      <c r="I13" s="888"/>
      <c r="J13" s="888"/>
      <c r="K13" s="888"/>
      <c r="L13" s="888"/>
      <c r="M13" s="888"/>
      <c r="N13" s="888"/>
    </row>
    <row r="14" spans="1:15" ht="34.5" customHeight="1">
      <c r="A14" s="256" t="s">
        <v>127</v>
      </c>
      <c r="B14" s="256"/>
      <c r="C14" s="888" t="s">
        <v>371</v>
      </c>
      <c r="D14" s="888"/>
      <c r="E14" s="888"/>
      <c r="F14" s="888"/>
      <c r="G14" s="888"/>
      <c r="H14" s="888"/>
      <c r="I14" s="888"/>
      <c r="J14" s="888"/>
      <c r="K14" s="888"/>
      <c r="L14" s="888"/>
      <c r="M14" s="888"/>
      <c r="N14" s="888"/>
    </row>
    <row r="15" spans="1:15" ht="18.75" customHeight="1">
      <c r="A15" s="256" t="s">
        <v>10</v>
      </c>
      <c r="B15" s="256"/>
      <c r="C15" s="895" t="s">
        <v>372</v>
      </c>
      <c r="D15" s="895"/>
      <c r="E15" s="895"/>
      <c r="F15" s="895"/>
      <c r="G15" s="895"/>
      <c r="H15" s="895"/>
      <c r="I15" s="895"/>
      <c r="J15" s="895"/>
      <c r="K15" s="895"/>
      <c r="L15" s="895"/>
      <c r="M15" s="895"/>
      <c r="N15" s="895"/>
    </row>
    <row r="16" spans="1:15" ht="20.25" customHeight="1">
      <c r="A16" s="886" t="s">
        <v>443</v>
      </c>
      <c r="B16" s="886"/>
      <c r="C16" s="708"/>
      <c r="D16" s="709"/>
      <c r="E16" s="709"/>
      <c r="F16" s="709"/>
      <c r="G16" s="709"/>
      <c r="H16" s="709"/>
      <c r="I16" s="709"/>
      <c r="J16" s="709"/>
      <c r="K16" s="709"/>
      <c r="L16" s="709"/>
      <c r="M16" s="709"/>
      <c r="N16" s="709"/>
    </row>
    <row r="17" spans="1:14" ht="15" customHeight="1">
      <c r="A17" s="283"/>
      <c r="B17" s="283"/>
      <c r="C17" s="284"/>
      <c r="D17" s="284"/>
      <c r="E17" s="284"/>
      <c r="F17" s="284"/>
      <c r="G17" s="284"/>
      <c r="H17" s="284"/>
      <c r="I17" s="284"/>
      <c r="J17" s="256"/>
      <c r="K17" s="256"/>
      <c r="L17" s="256"/>
      <c r="M17" s="256"/>
      <c r="N17" s="256"/>
    </row>
    <row r="18" spans="1:14" ht="14.45" customHeight="1">
      <c r="A18" s="896" t="s">
        <v>129</v>
      </c>
      <c r="B18" s="896"/>
      <c r="C18" s="1010" t="s">
        <v>358</v>
      </c>
      <c r="D18" s="1011"/>
      <c r="E18" s="1012"/>
      <c r="F18" s="1010" t="s">
        <v>359</v>
      </c>
      <c r="G18" s="1011"/>
      <c r="H18" s="1012"/>
      <c r="I18" s="1010" t="s">
        <v>360</v>
      </c>
      <c r="J18" s="1011"/>
      <c r="K18" s="1012"/>
      <c r="L18" s="1010" t="s">
        <v>361</v>
      </c>
      <c r="M18" s="1011"/>
      <c r="N18" s="1012"/>
    </row>
    <row r="19" spans="1:14">
      <c r="A19" s="841"/>
      <c r="B19" s="841"/>
      <c r="C19" s="572" t="s">
        <v>212</v>
      </c>
      <c r="D19" s="572" t="s">
        <v>213</v>
      </c>
      <c r="E19" s="572" t="s">
        <v>214</v>
      </c>
      <c r="F19" s="572" t="s">
        <v>215</v>
      </c>
      <c r="G19" s="572" t="s">
        <v>216</v>
      </c>
      <c r="H19" s="572" t="s">
        <v>217</v>
      </c>
      <c r="I19" s="169" t="s">
        <v>218</v>
      </c>
      <c r="J19" s="169" t="s">
        <v>219</v>
      </c>
      <c r="K19" s="169" t="s">
        <v>220</v>
      </c>
      <c r="L19" s="169" t="s">
        <v>221</v>
      </c>
      <c r="M19" s="169" t="s">
        <v>222</v>
      </c>
      <c r="N19" s="169" t="s">
        <v>223</v>
      </c>
    </row>
    <row r="20" spans="1:14" ht="35.25" customHeight="1">
      <c r="A20" s="702" t="s">
        <v>142</v>
      </c>
      <c r="B20" s="758"/>
      <c r="C20" s="1014">
        <f>+D32</f>
        <v>0.91</v>
      </c>
      <c r="D20" s="1015"/>
      <c r="E20" s="1016"/>
      <c r="F20" s="1014">
        <f>+F32</f>
        <v>0.97</v>
      </c>
      <c r="G20" s="1015"/>
      <c r="H20" s="1016"/>
      <c r="I20" s="1014">
        <f>+H32</f>
        <v>0</v>
      </c>
      <c r="J20" s="1015"/>
      <c r="K20" s="1016"/>
      <c r="L20" s="1014">
        <f>+J32</f>
        <v>0</v>
      </c>
      <c r="M20" s="1015"/>
      <c r="N20" s="1016"/>
    </row>
    <row r="21" spans="1:14" ht="42" customHeight="1">
      <c r="A21" s="13" t="s">
        <v>143</v>
      </c>
      <c r="B21" s="13"/>
      <c r="C21" s="1017">
        <v>0.9</v>
      </c>
      <c r="D21" s="1018"/>
      <c r="E21" s="1019"/>
      <c r="F21" s="1017">
        <v>0.9</v>
      </c>
      <c r="G21" s="1018"/>
      <c r="H21" s="1019"/>
      <c r="I21" s="1017">
        <v>0.9</v>
      </c>
      <c r="J21" s="1018"/>
      <c r="K21" s="1019"/>
      <c r="L21" s="1017">
        <v>0.9</v>
      </c>
      <c r="M21" s="1018"/>
      <c r="N21" s="1019"/>
    </row>
    <row r="22" spans="1:14" s="19" customFormat="1" ht="191.25" customHeight="1">
      <c r="A22" s="1020" t="s">
        <v>144</v>
      </c>
      <c r="B22" s="1021"/>
      <c r="C22" s="1021"/>
      <c r="D22" s="1021"/>
      <c r="E22" s="1021"/>
      <c r="F22" s="1021"/>
      <c r="G22" s="1021"/>
      <c r="H22" s="1021"/>
      <c r="I22" s="1021"/>
      <c r="J22" s="1021"/>
      <c r="K22" s="1021"/>
      <c r="L22" s="1021"/>
      <c r="M22" s="1021"/>
      <c r="N22" s="1022"/>
    </row>
    <row r="23" spans="1:14" ht="25.5" customHeight="1">
      <c r="A23" s="561" t="s">
        <v>467</v>
      </c>
      <c r="B23" s="1023" t="s">
        <v>373</v>
      </c>
      <c r="C23" s="1024"/>
      <c r="D23" s="1024"/>
      <c r="E23" s="1024"/>
      <c r="F23" s="1025"/>
      <c r="G23" s="1013" t="s">
        <v>146</v>
      </c>
      <c r="H23" s="1013"/>
      <c r="I23" s="1013"/>
      <c r="J23" s="1013"/>
      <c r="K23" s="1013"/>
      <c r="L23" s="1013"/>
      <c r="M23" s="1013"/>
      <c r="N23" s="1013"/>
    </row>
    <row r="24" spans="1:14" s="19" customFormat="1" ht="85.5" customHeight="1">
      <c r="A24" s="178" t="str">
        <f>+D30</f>
        <v>1er Trimestre</v>
      </c>
      <c r="B24" s="1026" t="s">
        <v>679</v>
      </c>
      <c r="C24" s="743"/>
      <c r="D24" s="743"/>
      <c r="E24" s="743"/>
      <c r="F24" s="744"/>
      <c r="G24" s="1027" t="s">
        <v>680</v>
      </c>
      <c r="H24" s="1028"/>
      <c r="I24" s="1028"/>
      <c r="J24" s="1028"/>
      <c r="K24" s="1028"/>
      <c r="L24" s="1028"/>
      <c r="M24" s="1028"/>
      <c r="N24" s="1029"/>
    </row>
    <row r="25" spans="1:14" s="19" customFormat="1" ht="90" customHeight="1">
      <c r="A25" s="32" t="str">
        <f>+F30</f>
        <v>2do Trimestre</v>
      </c>
      <c r="B25" s="760" t="s">
        <v>730</v>
      </c>
      <c r="C25" s="761"/>
      <c r="D25" s="761"/>
      <c r="E25" s="761"/>
      <c r="F25" s="762"/>
      <c r="G25" s="902" t="s">
        <v>731</v>
      </c>
      <c r="H25" s="903"/>
      <c r="I25" s="903"/>
      <c r="J25" s="903"/>
      <c r="K25" s="903"/>
      <c r="L25" s="903"/>
      <c r="M25" s="903"/>
      <c r="N25" s="904"/>
    </row>
    <row r="26" spans="1:14" s="19" customFormat="1" ht="51.75" customHeight="1">
      <c r="A26" s="32" t="str">
        <f>+H30</f>
        <v>3er Trimestre</v>
      </c>
      <c r="B26" s="760"/>
      <c r="C26" s="761"/>
      <c r="D26" s="761"/>
      <c r="E26" s="761"/>
      <c r="F26" s="762"/>
      <c r="G26" s="902"/>
      <c r="H26" s="903"/>
      <c r="I26" s="903"/>
      <c r="J26" s="903"/>
      <c r="K26" s="903"/>
      <c r="L26" s="903"/>
      <c r="M26" s="903"/>
      <c r="N26" s="904"/>
    </row>
    <row r="27" spans="1:14" s="19" customFormat="1" ht="57" customHeight="1">
      <c r="A27" s="32" t="str">
        <f>+J30</f>
        <v>4to Trimestre</v>
      </c>
      <c r="B27" s="33"/>
      <c r="C27" s="34"/>
      <c r="D27" s="34"/>
      <c r="E27" s="34"/>
      <c r="F27" s="34"/>
      <c r="G27" s="35"/>
      <c r="H27" s="34"/>
      <c r="I27" s="34"/>
      <c r="J27" s="34"/>
      <c r="K27" s="34"/>
      <c r="L27" s="34"/>
      <c r="M27" s="34"/>
      <c r="N27" s="36"/>
    </row>
    <row r="28" spans="1:14" s="19" customFormat="1" ht="38.25" customHeight="1">
      <c r="A28" s="179"/>
      <c r="B28" s="180"/>
      <c r="C28" s="180"/>
      <c r="D28" s="180"/>
      <c r="E28" s="180"/>
      <c r="F28" s="180"/>
      <c r="G28" s="180"/>
      <c r="H28" s="180"/>
      <c r="I28" s="180"/>
      <c r="J28" s="180"/>
      <c r="K28" s="180"/>
      <c r="L28" s="180"/>
      <c r="M28" s="180"/>
      <c r="N28" s="180"/>
    </row>
    <row r="29" spans="1:14" s="19" customFormat="1">
      <c r="A29" s="179"/>
      <c r="B29" s="181" t="s">
        <v>374</v>
      </c>
      <c r="C29" s="181"/>
      <c r="D29" s="457">
        <v>46</v>
      </c>
      <c r="E29" s="183"/>
      <c r="F29" s="457"/>
      <c r="G29" s="183"/>
      <c r="H29" s="182"/>
      <c r="I29" s="183"/>
      <c r="J29" s="182"/>
      <c r="K29" s="180"/>
      <c r="L29" s="180"/>
      <c r="M29" s="180"/>
      <c r="N29" s="180"/>
    </row>
    <row r="30" spans="1:14" s="19" customFormat="1" ht="33">
      <c r="A30" s="179"/>
      <c r="B30" s="184"/>
      <c r="C30" s="184"/>
      <c r="D30" s="185" t="s">
        <v>375</v>
      </c>
      <c r="E30" s="186"/>
      <c r="F30" s="185" t="s">
        <v>376</v>
      </c>
      <c r="G30" s="186"/>
      <c r="H30" s="185" t="s">
        <v>377</v>
      </c>
      <c r="I30" s="186"/>
      <c r="J30" s="187" t="s">
        <v>378</v>
      </c>
      <c r="K30" s="180"/>
      <c r="L30" s="180"/>
      <c r="M30" s="180"/>
      <c r="N30" s="180"/>
    </row>
    <row r="31" spans="1:14" s="19" customFormat="1">
      <c r="A31" s="179"/>
      <c r="B31" s="180"/>
      <c r="C31" s="180"/>
      <c r="D31" s="180"/>
      <c r="E31" s="180"/>
      <c r="F31" s="180"/>
      <c r="G31" s="180"/>
      <c r="H31" s="180"/>
      <c r="I31" s="180"/>
      <c r="J31" s="180"/>
      <c r="K31" s="180"/>
      <c r="L31" s="180"/>
      <c r="M31" s="180"/>
      <c r="N31" s="180"/>
    </row>
    <row r="32" spans="1:14" ht="32.25" customHeight="1">
      <c r="B32" s="188" t="s">
        <v>379</v>
      </c>
      <c r="C32" s="163"/>
      <c r="D32" s="189">
        <v>0.91</v>
      </c>
      <c r="E32" s="189"/>
      <c r="F32" s="189">
        <v>0.97</v>
      </c>
      <c r="G32" s="189"/>
      <c r="H32" s="189">
        <f>H29/5</f>
        <v>0</v>
      </c>
      <c r="I32" s="189"/>
      <c r="J32" s="189">
        <f t="shared" ref="J32" si="0">J29/5</f>
        <v>0</v>
      </c>
    </row>
    <row r="33" spans="8:12" ht="28.5" customHeight="1"/>
    <row r="35" spans="8:12">
      <c r="H35" s="4">
        <v>1</v>
      </c>
      <c r="I35" s="233">
        <v>0.2</v>
      </c>
    </row>
    <row r="36" spans="8:12">
      <c r="H36" s="4">
        <v>2</v>
      </c>
      <c r="I36" s="233">
        <v>0.2</v>
      </c>
    </row>
    <row r="37" spans="8:12">
      <c r="H37" s="4">
        <v>3</v>
      </c>
      <c r="I37" s="233">
        <v>0.2</v>
      </c>
      <c r="K37" s="4" t="s">
        <v>521</v>
      </c>
    </row>
    <row r="38" spans="8:12">
      <c r="H38" s="4">
        <v>4</v>
      </c>
      <c r="I38" s="233">
        <v>0.2</v>
      </c>
      <c r="K38" s="242">
        <f>20%/10</f>
        <v>0.02</v>
      </c>
    </row>
    <row r="39" spans="8:12">
      <c r="H39" s="4">
        <v>5</v>
      </c>
      <c r="I39" s="233">
        <v>0.2</v>
      </c>
      <c r="K39" s="242">
        <f t="shared" ref="K39:K47" si="1">20%/10</f>
        <v>0.02</v>
      </c>
    </row>
    <row r="40" spans="8:12">
      <c r="K40" s="242">
        <f t="shared" si="1"/>
        <v>0.02</v>
      </c>
    </row>
    <row r="41" spans="8:12">
      <c r="K41" s="242">
        <f t="shared" si="1"/>
        <v>0.02</v>
      </c>
      <c r="L41" s="244"/>
    </row>
    <row r="42" spans="8:12">
      <c r="K42" s="242">
        <f t="shared" si="1"/>
        <v>0.02</v>
      </c>
    </row>
    <row r="43" spans="8:12">
      <c r="K43" s="242">
        <f t="shared" si="1"/>
        <v>0.02</v>
      </c>
    </row>
    <row r="44" spans="8:12">
      <c r="K44" s="242">
        <f t="shared" si="1"/>
        <v>0.02</v>
      </c>
    </row>
    <row r="45" spans="8:12">
      <c r="K45" s="242">
        <f t="shared" si="1"/>
        <v>0.02</v>
      </c>
    </row>
    <row r="46" spans="8:12">
      <c r="K46" s="242">
        <f t="shared" si="1"/>
        <v>0.02</v>
      </c>
    </row>
    <row r="47" spans="8:12">
      <c r="K47" s="242">
        <f t="shared" si="1"/>
        <v>0.02</v>
      </c>
    </row>
  </sheetData>
  <mergeCells count="43">
    <mergeCell ref="B26:F26"/>
    <mergeCell ref="G26:N26"/>
    <mergeCell ref="B24:F24"/>
    <mergeCell ref="G24:N24"/>
    <mergeCell ref="B25:F25"/>
    <mergeCell ref="G25:N25"/>
    <mergeCell ref="G23:N23"/>
    <mergeCell ref="A19:B19"/>
    <mergeCell ref="A20:B20"/>
    <mergeCell ref="C20:E20"/>
    <mergeCell ref="F20:H20"/>
    <mergeCell ref="I20:K20"/>
    <mergeCell ref="L20:N20"/>
    <mergeCell ref="C21:E21"/>
    <mergeCell ref="F21:H21"/>
    <mergeCell ref="I21:K21"/>
    <mergeCell ref="L21:N21"/>
    <mergeCell ref="A22:N22"/>
    <mergeCell ref="B23:F23"/>
    <mergeCell ref="C14:N14"/>
    <mergeCell ref="C15:N15"/>
    <mergeCell ref="A18:B18"/>
    <mergeCell ref="C18:E18"/>
    <mergeCell ref="F18:H18"/>
    <mergeCell ref="I18:K18"/>
    <mergeCell ref="L18:N18"/>
    <mergeCell ref="A16:B16"/>
    <mergeCell ref="C16:N16"/>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s>
  <hyperlinks>
    <hyperlink ref="O5" location="'Matriz Sta Ana'!A1" display="Volver" xr:uid="{A27D9F34-EE02-493A-9867-59EC598DB8E1}"/>
  </hyperlinks>
  <pageMargins left="0.7" right="0.7" top="0.75" bottom="0.75" header="0.3" footer="0.3"/>
  <pageSetup scale="58" orientation="portrait" r:id="rId1"/>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0B43B8-ECDC-4FF3-B804-4E15A6C652EA}">
  <sheetPr>
    <tabColor theme="9"/>
    <pageSetUpPr fitToPage="1"/>
  </sheetPr>
  <dimension ref="A1:S52"/>
  <sheetViews>
    <sheetView view="pageBreakPreview" topLeftCell="A37" zoomScale="115" zoomScaleNormal="100" zoomScaleSheetLayoutView="115" workbookViewId="0">
      <selection activeCell="G26" sqref="G26:N26"/>
    </sheetView>
  </sheetViews>
  <sheetFormatPr baseColWidth="10" defaultColWidth="0" defaultRowHeight="16.5"/>
  <cols>
    <col min="1" max="1" width="7.42578125" style="5" customWidth="1"/>
    <col min="2" max="2" width="38.5703125" style="5" customWidth="1"/>
    <col min="3" max="14" width="7.140625" style="4" customWidth="1"/>
    <col min="15" max="15" width="11.42578125" style="4" customWidth="1"/>
    <col min="16" max="16384" width="11.42578125" style="4" hidden="1"/>
  </cols>
  <sheetData>
    <row r="1" spans="1:15">
      <c r="A1" s="719" t="s">
        <v>113</v>
      </c>
      <c r="B1" s="720"/>
      <c r="C1" s="720"/>
      <c r="D1" s="720"/>
      <c r="E1" s="720"/>
      <c r="F1" s="720"/>
      <c r="G1" s="720"/>
      <c r="H1" s="720"/>
      <c r="I1" s="720"/>
      <c r="J1" s="721"/>
      <c r="K1" s="728" t="s">
        <v>114</v>
      </c>
      <c r="L1" s="729"/>
      <c r="M1" s="728"/>
      <c r="N1" s="729"/>
    </row>
    <row r="2" spans="1:15">
      <c r="A2" s="722"/>
      <c r="B2" s="723"/>
      <c r="C2" s="723"/>
      <c r="D2" s="723"/>
      <c r="E2" s="723"/>
      <c r="F2" s="723"/>
      <c r="G2" s="723"/>
      <c r="H2" s="723"/>
      <c r="I2" s="723"/>
      <c r="J2" s="724"/>
      <c r="K2" s="728" t="s">
        <v>115</v>
      </c>
      <c r="L2" s="729"/>
      <c r="M2" s="728">
        <v>0</v>
      </c>
      <c r="N2" s="729"/>
    </row>
    <row r="3" spans="1:15">
      <c r="A3" s="722"/>
      <c r="B3" s="723"/>
      <c r="C3" s="723"/>
      <c r="D3" s="723"/>
      <c r="E3" s="723"/>
      <c r="F3" s="723"/>
      <c r="G3" s="723"/>
      <c r="H3" s="723"/>
      <c r="I3" s="723"/>
      <c r="J3" s="724"/>
      <c r="K3" s="728" t="s">
        <v>116</v>
      </c>
      <c r="L3" s="729"/>
      <c r="M3" s="732"/>
      <c r="N3" s="733"/>
    </row>
    <row r="4" spans="1:15">
      <c r="A4" s="725"/>
      <c r="B4" s="726"/>
      <c r="C4" s="726"/>
      <c r="D4" s="726"/>
      <c r="E4" s="726"/>
      <c r="F4" s="726"/>
      <c r="G4" s="726"/>
      <c r="H4" s="726"/>
      <c r="I4" s="726"/>
      <c r="J4" s="727"/>
      <c r="K4" s="728" t="s">
        <v>117</v>
      </c>
      <c r="L4" s="729"/>
      <c r="M4" s="732" t="s">
        <v>118</v>
      </c>
      <c r="N4" s="733"/>
    </row>
    <row r="5" spans="1:15">
      <c r="A5" s="368"/>
      <c r="B5" s="368"/>
      <c r="C5" s="369"/>
      <c r="D5" s="369"/>
      <c r="E5" s="369"/>
      <c r="F5" s="369"/>
      <c r="G5" s="369"/>
      <c r="H5" s="369"/>
      <c r="I5" s="369"/>
      <c r="J5" s="369"/>
      <c r="K5" s="369"/>
      <c r="L5" s="369"/>
      <c r="M5" s="370"/>
      <c r="N5" s="371"/>
      <c r="O5" s="52" t="s">
        <v>120</v>
      </c>
    </row>
    <row r="6" spans="1:15">
      <c r="A6" s="368" t="s">
        <v>121</v>
      </c>
      <c r="B6" s="368"/>
      <c r="C6" s="997" t="s">
        <v>52</v>
      </c>
      <c r="D6" s="997"/>
      <c r="E6" s="997"/>
      <c r="F6" s="997"/>
      <c r="G6" s="997"/>
      <c r="H6" s="997"/>
      <c r="I6" s="997"/>
      <c r="J6" s="997"/>
      <c r="K6" s="997"/>
      <c r="L6" s="997"/>
      <c r="M6" s="997"/>
      <c r="N6" s="997"/>
    </row>
    <row r="7" spans="1:15">
      <c r="A7" s="368" t="s">
        <v>3</v>
      </c>
      <c r="B7" s="368"/>
      <c r="C7" s="989" t="s">
        <v>53</v>
      </c>
      <c r="D7" s="989"/>
      <c r="E7" s="989"/>
      <c r="F7" s="989"/>
      <c r="G7" s="989"/>
      <c r="H7" s="989"/>
      <c r="I7" s="989"/>
      <c r="J7" s="989"/>
      <c r="K7" s="989"/>
      <c r="L7" s="989"/>
      <c r="M7" s="989"/>
      <c r="N7" s="989"/>
    </row>
    <row r="8" spans="1:15">
      <c r="A8" s="368" t="s">
        <v>122</v>
      </c>
      <c r="B8" s="368"/>
      <c r="C8" s="372" t="s">
        <v>123</v>
      </c>
      <c r="D8" s="372"/>
      <c r="E8" s="372"/>
      <c r="F8" s="372"/>
      <c r="G8" s="372"/>
      <c r="H8" s="372"/>
      <c r="I8" s="372"/>
      <c r="J8" s="372"/>
      <c r="K8" s="372"/>
      <c r="L8" s="372"/>
      <c r="M8" s="372"/>
      <c r="N8" s="372"/>
    </row>
    <row r="9" spans="1:15">
      <c r="A9" s="368" t="s">
        <v>124</v>
      </c>
      <c r="B9" s="368"/>
      <c r="C9" s="998">
        <v>0.9</v>
      </c>
      <c r="D9" s="999"/>
      <c r="E9" s="999"/>
      <c r="F9" s="999"/>
      <c r="G9" s="999"/>
      <c r="H9" s="999"/>
      <c r="I9" s="999"/>
      <c r="J9" s="999"/>
      <c r="K9" s="999"/>
      <c r="L9" s="999"/>
      <c r="M9" s="999"/>
      <c r="N9" s="999"/>
    </row>
    <row r="10" spans="1:15">
      <c r="A10" s="368" t="s">
        <v>5</v>
      </c>
      <c r="B10" s="368"/>
      <c r="C10" s="373" t="s">
        <v>77</v>
      </c>
      <c r="D10" s="373"/>
      <c r="E10" s="373"/>
      <c r="F10" s="373"/>
      <c r="G10" s="373"/>
      <c r="H10" s="373"/>
      <c r="I10" s="373"/>
      <c r="J10" s="373"/>
      <c r="K10" s="373"/>
      <c r="L10" s="373"/>
      <c r="M10" s="373"/>
      <c r="N10" s="373"/>
    </row>
    <row r="11" spans="1:15">
      <c r="A11" s="368" t="s">
        <v>6</v>
      </c>
      <c r="B11" s="368"/>
      <c r="C11" s="373" t="s">
        <v>55</v>
      </c>
      <c r="D11" s="373"/>
      <c r="E11" s="373"/>
      <c r="F11" s="373"/>
      <c r="G11" s="373"/>
      <c r="H11" s="373"/>
      <c r="I11" s="373"/>
      <c r="J11" s="373"/>
      <c r="K11" s="373"/>
      <c r="L11" s="373"/>
      <c r="M11" s="373"/>
      <c r="N11" s="373"/>
    </row>
    <row r="12" spans="1:15">
      <c r="A12" s="368" t="s">
        <v>7</v>
      </c>
      <c r="B12" s="368"/>
      <c r="C12" s="989" t="s">
        <v>393</v>
      </c>
      <c r="D12" s="989"/>
      <c r="E12" s="989"/>
      <c r="F12" s="989"/>
      <c r="G12" s="989"/>
      <c r="H12" s="989"/>
      <c r="I12" s="989"/>
      <c r="J12" s="989"/>
      <c r="K12" s="989"/>
      <c r="L12" s="989"/>
      <c r="M12" s="989"/>
      <c r="N12" s="989"/>
    </row>
    <row r="13" spans="1:15">
      <c r="A13" s="1000" t="s">
        <v>125</v>
      </c>
      <c r="B13" s="1000"/>
      <c r="C13" s="989" t="s">
        <v>369</v>
      </c>
      <c r="D13" s="989"/>
      <c r="E13" s="989"/>
      <c r="F13" s="989"/>
      <c r="G13" s="989"/>
      <c r="H13" s="989"/>
      <c r="I13" s="989"/>
      <c r="J13" s="989"/>
      <c r="K13" s="989"/>
      <c r="L13" s="989"/>
      <c r="M13" s="989"/>
      <c r="N13" s="989"/>
    </row>
    <row r="14" spans="1:15">
      <c r="A14" s="368" t="s">
        <v>127</v>
      </c>
      <c r="B14" s="368"/>
      <c r="C14" s="989" t="s">
        <v>53</v>
      </c>
      <c r="D14" s="989"/>
      <c r="E14" s="989"/>
      <c r="F14" s="989"/>
      <c r="G14" s="989"/>
      <c r="H14" s="989"/>
      <c r="I14" s="989"/>
      <c r="J14" s="989"/>
      <c r="K14" s="989"/>
      <c r="L14" s="989"/>
      <c r="M14" s="989"/>
      <c r="N14" s="989"/>
    </row>
    <row r="15" spans="1:15">
      <c r="A15" s="368" t="s">
        <v>10</v>
      </c>
      <c r="B15" s="368"/>
      <c r="C15" s="990" t="s">
        <v>394</v>
      </c>
      <c r="D15" s="990"/>
      <c r="E15" s="990"/>
      <c r="F15" s="990"/>
      <c r="G15" s="990"/>
      <c r="H15" s="990"/>
      <c r="I15" s="990"/>
      <c r="J15" s="990"/>
      <c r="K15" s="990"/>
      <c r="L15" s="990"/>
      <c r="M15" s="990"/>
      <c r="N15" s="990"/>
    </row>
    <row r="16" spans="1:15" ht="20.25" customHeight="1">
      <c r="A16" s="991" t="s">
        <v>443</v>
      </c>
      <c r="B16" s="991"/>
      <c r="C16" s="708">
        <v>44508</v>
      </c>
      <c r="D16" s="709"/>
      <c r="E16" s="709"/>
      <c r="F16" s="709"/>
      <c r="G16" s="709"/>
      <c r="H16" s="709"/>
      <c r="I16" s="709"/>
      <c r="J16" s="709"/>
      <c r="K16" s="709"/>
      <c r="L16" s="709"/>
      <c r="M16" s="709"/>
      <c r="N16" s="709"/>
    </row>
    <row r="17" spans="1:14" ht="15" customHeight="1">
      <c r="A17" s="374"/>
      <c r="B17" s="374"/>
      <c r="C17" s="375"/>
      <c r="D17" s="375"/>
      <c r="E17" s="375"/>
      <c r="F17" s="375"/>
      <c r="G17" s="375"/>
      <c r="H17" s="375"/>
      <c r="I17" s="375"/>
      <c r="J17" s="368"/>
      <c r="K17" s="368"/>
      <c r="L17" s="368"/>
      <c r="M17" s="368"/>
      <c r="N17" s="368"/>
    </row>
    <row r="18" spans="1:14" s="291" customFormat="1">
      <c r="A18" s="992"/>
      <c r="B18" s="993"/>
      <c r="C18" s="994"/>
      <c r="D18" s="995"/>
      <c r="E18" s="996"/>
      <c r="F18" s="994"/>
      <c r="G18" s="995"/>
      <c r="H18" s="996"/>
      <c r="I18" s="994"/>
      <c r="J18" s="995"/>
      <c r="K18" s="996"/>
      <c r="L18" s="994"/>
      <c r="M18" s="995"/>
      <c r="N18" s="996"/>
    </row>
    <row r="19" spans="1:14">
      <c r="A19" s="391"/>
      <c r="B19" s="392" t="s">
        <v>129</v>
      </c>
      <c r="C19" s="393" t="s">
        <v>130</v>
      </c>
      <c r="D19" s="393" t="s">
        <v>131</v>
      </c>
      <c r="E19" s="393" t="s">
        <v>132</v>
      </c>
      <c r="F19" s="393" t="s">
        <v>133</v>
      </c>
      <c r="G19" s="393" t="s">
        <v>134</v>
      </c>
      <c r="H19" s="393" t="s">
        <v>135</v>
      </c>
      <c r="I19" s="393" t="s">
        <v>136</v>
      </c>
      <c r="J19" s="393" t="s">
        <v>137</v>
      </c>
      <c r="K19" s="393" t="s">
        <v>138</v>
      </c>
      <c r="L19" s="393" t="s">
        <v>139</v>
      </c>
      <c r="M19" s="393" t="s">
        <v>140</v>
      </c>
      <c r="N19" s="393" t="s">
        <v>141</v>
      </c>
    </row>
    <row r="20" spans="1:14">
      <c r="A20" s="974" t="s">
        <v>486</v>
      </c>
      <c r="B20" s="975"/>
      <c r="C20" s="376"/>
      <c r="D20" s="376"/>
      <c r="E20" s="376"/>
      <c r="F20" s="376"/>
      <c r="G20" s="376"/>
      <c r="H20" s="376"/>
      <c r="I20" s="376"/>
      <c r="J20" s="376"/>
      <c r="K20" s="376"/>
      <c r="L20" s="376"/>
      <c r="M20" s="376"/>
      <c r="N20" s="376">
        <f>+N42</f>
        <v>0</v>
      </c>
    </row>
    <row r="21" spans="1:14">
      <c r="A21" s="377" t="s">
        <v>485</v>
      </c>
      <c r="B21" s="378"/>
      <c r="C21" s="376"/>
      <c r="D21" s="376"/>
      <c r="E21" s="376"/>
      <c r="F21" s="376"/>
      <c r="G21" s="376"/>
      <c r="H21" s="376"/>
      <c r="I21" s="376"/>
      <c r="J21" s="376"/>
      <c r="K21" s="376"/>
      <c r="L21" s="376"/>
      <c r="M21" s="376"/>
      <c r="N21" s="376">
        <f>+C9</f>
        <v>0.9</v>
      </c>
    </row>
    <row r="22" spans="1:14">
      <c r="A22" s="368"/>
      <c r="B22" s="368"/>
      <c r="C22" s="379"/>
      <c r="D22" s="379"/>
      <c r="E22" s="379"/>
      <c r="F22" s="379"/>
      <c r="G22" s="379"/>
      <c r="H22" s="379"/>
      <c r="I22" s="379"/>
      <c r="J22" s="379"/>
      <c r="K22" s="379"/>
      <c r="L22" s="379"/>
      <c r="M22" s="379"/>
      <c r="N22" s="380"/>
    </row>
    <row r="23" spans="1:14" s="295" customFormat="1">
      <c r="A23" s="381" t="s">
        <v>144</v>
      </c>
      <c r="B23" s="382"/>
      <c r="C23" s="383"/>
      <c r="D23" s="383"/>
      <c r="E23" s="383"/>
      <c r="F23" s="383"/>
      <c r="G23" s="383"/>
      <c r="H23" s="383"/>
      <c r="I23" s="383"/>
      <c r="J23" s="383"/>
      <c r="K23" s="383"/>
      <c r="L23" s="383"/>
      <c r="M23" s="383"/>
      <c r="N23" s="384"/>
    </row>
    <row r="24" spans="1:14" ht="174.75" customHeight="1">
      <c r="A24" s="368"/>
      <c r="B24" s="368"/>
      <c r="C24" s="369"/>
      <c r="D24" s="369"/>
      <c r="E24" s="369"/>
      <c r="F24" s="369"/>
      <c r="G24" s="369"/>
      <c r="H24" s="369"/>
      <c r="I24" s="369"/>
      <c r="J24" s="369"/>
      <c r="K24" s="369"/>
      <c r="L24" s="369"/>
      <c r="M24" s="369"/>
      <c r="N24" s="369"/>
    </row>
    <row r="25" spans="1:14">
      <c r="A25" s="385" t="s">
        <v>129</v>
      </c>
      <c r="B25" s="976" t="s">
        <v>145</v>
      </c>
      <c r="C25" s="976"/>
      <c r="D25" s="976"/>
      <c r="E25" s="976"/>
      <c r="F25" s="976"/>
      <c r="G25" s="977" t="s">
        <v>146</v>
      </c>
      <c r="H25" s="978"/>
      <c r="I25" s="978"/>
      <c r="J25" s="978"/>
      <c r="K25" s="978"/>
      <c r="L25" s="978"/>
      <c r="M25" s="978"/>
      <c r="N25" s="979"/>
    </row>
    <row r="26" spans="1:14" s="19" customFormat="1">
      <c r="A26" s="386" t="s">
        <v>259</v>
      </c>
      <c r="B26" s="1030"/>
      <c r="C26" s="1031"/>
      <c r="D26" s="1031"/>
      <c r="E26" s="1031"/>
      <c r="F26" s="1032"/>
      <c r="G26" s="1033"/>
      <c r="H26" s="1034"/>
      <c r="I26" s="1034"/>
      <c r="J26" s="1034"/>
      <c r="K26" s="1034"/>
      <c r="L26" s="1034"/>
      <c r="M26" s="1034"/>
      <c r="N26" s="1035"/>
    </row>
    <row r="27" spans="1:14" s="19" customFormat="1">
      <c r="A27" s="386" t="s">
        <v>260</v>
      </c>
      <c r="B27" s="1030"/>
      <c r="C27" s="1031"/>
      <c r="D27" s="1031"/>
      <c r="E27" s="1031"/>
      <c r="F27" s="1032"/>
      <c r="G27" s="1033"/>
      <c r="H27" s="1034"/>
      <c r="I27" s="1034"/>
      <c r="J27" s="1034"/>
      <c r="K27" s="1034"/>
      <c r="L27" s="1034"/>
      <c r="M27" s="1034"/>
      <c r="N27" s="1035"/>
    </row>
    <row r="28" spans="1:14" s="19" customFormat="1">
      <c r="A28" s="386" t="s">
        <v>261</v>
      </c>
      <c r="B28" s="1030"/>
      <c r="C28" s="1031"/>
      <c r="D28" s="1031"/>
      <c r="E28" s="1031"/>
      <c r="F28" s="1032"/>
      <c r="G28" s="1033"/>
      <c r="H28" s="1034"/>
      <c r="I28" s="1034"/>
      <c r="J28" s="1034"/>
      <c r="K28" s="1034"/>
      <c r="L28" s="1034"/>
      <c r="M28" s="1034"/>
      <c r="N28" s="1035"/>
    </row>
    <row r="29" spans="1:14" s="19" customFormat="1">
      <c r="A29" s="386" t="s">
        <v>262</v>
      </c>
      <c r="B29" s="1030"/>
      <c r="C29" s="1031"/>
      <c r="D29" s="1031"/>
      <c r="E29" s="1031"/>
      <c r="F29" s="1032"/>
      <c r="G29" s="1033"/>
      <c r="H29" s="1034"/>
      <c r="I29" s="1034"/>
      <c r="J29" s="1034"/>
      <c r="K29" s="1034"/>
      <c r="L29" s="1034"/>
      <c r="M29" s="1034"/>
      <c r="N29" s="1035"/>
    </row>
    <row r="30" spans="1:14" s="19" customFormat="1">
      <c r="A30" s="386" t="s">
        <v>263</v>
      </c>
      <c r="B30" s="1030"/>
      <c r="C30" s="1031"/>
      <c r="D30" s="1031"/>
      <c r="E30" s="1031"/>
      <c r="F30" s="1032"/>
      <c r="G30" s="1033"/>
      <c r="H30" s="1034"/>
      <c r="I30" s="1034"/>
      <c r="J30" s="1034"/>
      <c r="K30" s="1034"/>
      <c r="L30" s="1034"/>
      <c r="M30" s="1034"/>
      <c r="N30" s="1035"/>
    </row>
    <row r="31" spans="1:14" s="19" customFormat="1">
      <c r="A31" s="386" t="s">
        <v>264</v>
      </c>
      <c r="B31" s="1030"/>
      <c r="C31" s="1031"/>
      <c r="D31" s="1031"/>
      <c r="E31" s="1031"/>
      <c r="F31" s="1032"/>
      <c r="G31" s="1033"/>
      <c r="H31" s="1034"/>
      <c r="I31" s="1034"/>
      <c r="J31" s="1034"/>
      <c r="K31" s="1034"/>
      <c r="L31" s="1034"/>
      <c r="M31" s="1034"/>
      <c r="N31" s="1035"/>
    </row>
    <row r="32" spans="1:14" s="19" customFormat="1">
      <c r="A32" s="386" t="s">
        <v>265</v>
      </c>
      <c r="B32" s="1030"/>
      <c r="C32" s="1031"/>
      <c r="D32" s="1031"/>
      <c r="E32" s="1031"/>
      <c r="F32" s="1032"/>
      <c r="G32" s="1033"/>
      <c r="H32" s="1034"/>
      <c r="I32" s="1034"/>
      <c r="J32" s="1034"/>
      <c r="K32" s="1034"/>
      <c r="L32" s="1034"/>
      <c r="M32" s="1034"/>
      <c r="N32" s="1035"/>
    </row>
    <row r="33" spans="1:14" s="19" customFormat="1">
      <c r="A33" s="386" t="s">
        <v>471</v>
      </c>
      <c r="B33" s="1030"/>
      <c r="C33" s="1031"/>
      <c r="D33" s="1031"/>
      <c r="E33" s="1031"/>
      <c r="F33" s="1032"/>
      <c r="G33" s="1033"/>
      <c r="H33" s="1034"/>
      <c r="I33" s="1034"/>
      <c r="J33" s="1034"/>
      <c r="K33" s="1034"/>
      <c r="L33" s="1034"/>
      <c r="M33" s="1034"/>
      <c r="N33" s="1035"/>
    </row>
    <row r="34" spans="1:14" s="19" customFormat="1">
      <c r="A34" s="386" t="s">
        <v>472</v>
      </c>
      <c r="B34" s="1030"/>
      <c r="C34" s="1031"/>
      <c r="D34" s="1031"/>
      <c r="E34" s="1031"/>
      <c r="F34" s="1032"/>
      <c r="G34" s="1033"/>
      <c r="H34" s="1034"/>
      <c r="I34" s="1034"/>
      <c r="J34" s="1034"/>
      <c r="K34" s="1034"/>
      <c r="L34" s="1034"/>
      <c r="M34" s="1034"/>
      <c r="N34" s="1035"/>
    </row>
    <row r="35" spans="1:14" s="19" customFormat="1">
      <c r="A35" s="386" t="s">
        <v>473</v>
      </c>
      <c r="B35" s="1030"/>
      <c r="C35" s="1031"/>
      <c r="D35" s="1031"/>
      <c r="E35" s="1031"/>
      <c r="F35" s="1032"/>
      <c r="G35" s="1033"/>
      <c r="H35" s="1034"/>
      <c r="I35" s="1034"/>
      <c r="J35" s="1034"/>
      <c r="K35" s="1034"/>
      <c r="L35" s="1034"/>
      <c r="M35" s="1034"/>
      <c r="N35" s="1035"/>
    </row>
    <row r="36" spans="1:14" s="19" customFormat="1">
      <c r="A36" s="386" t="s">
        <v>269</v>
      </c>
      <c r="B36" s="1030"/>
      <c r="C36" s="1031"/>
      <c r="D36" s="1031"/>
      <c r="E36" s="1031"/>
      <c r="F36" s="1032"/>
      <c r="G36" s="1033"/>
      <c r="H36" s="1034"/>
      <c r="I36" s="1034"/>
      <c r="J36" s="1034"/>
      <c r="K36" s="1034"/>
      <c r="L36" s="1034"/>
      <c r="M36" s="1034"/>
      <c r="N36" s="1035"/>
    </row>
    <row r="37" spans="1:14" s="19" customFormat="1">
      <c r="A37" s="386" t="s">
        <v>270</v>
      </c>
      <c r="B37" s="1030"/>
      <c r="C37" s="1031"/>
      <c r="D37" s="1031"/>
      <c r="E37" s="1031"/>
      <c r="F37" s="1032"/>
      <c r="G37" s="1033"/>
      <c r="H37" s="1034"/>
      <c r="I37" s="1034"/>
      <c r="J37" s="1034"/>
      <c r="K37" s="1034"/>
      <c r="L37" s="1034"/>
      <c r="M37" s="1034"/>
      <c r="N37" s="1035"/>
    </row>
    <row r="38" spans="1:14" s="19" customFormat="1">
      <c r="A38" s="387"/>
      <c r="B38" s="394" t="s">
        <v>362</v>
      </c>
      <c r="C38" s="395">
        <v>43831</v>
      </c>
      <c r="D38" s="395">
        <v>43862</v>
      </c>
      <c r="E38" s="395">
        <v>43891</v>
      </c>
      <c r="F38" s="395">
        <v>43922</v>
      </c>
      <c r="G38" s="395">
        <v>43952</v>
      </c>
      <c r="H38" s="395">
        <v>43983</v>
      </c>
      <c r="I38" s="395">
        <v>44013</v>
      </c>
      <c r="J38" s="395">
        <v>44044</v>
      </c>
      <c r="K38" s="395">
        <v>44075</v>
      </c>
      <c r="L38" s="395">
        <v>44105</v>
      </c>
      <c r="M38" s="395">
        <v>44136</v>
      </c>
      <c r="N38" s="395">
        <v>44166</v>
      </c>
    </row>
    <row r="39" spans="1:14" s="19" customFormat="1">
      <c r="A39" s="388"/>
      <c r="B39" s="396" t="s">
        <v>395</v>
      </c>
      <c r="C39" s="1037">
        <v>0.9</v>
      </c>
      <c r="D39" s="1038"/>
      <c r="E39" s="1039"/>
      <c r="F39" s="1037">
        <v>0.9</v>
      </c>
      <c r="G39" s="1038"/>
      <c r="H39" s="1039"/>
      <c r="I39" s="1037">
        <v>0.9</v>
      </c>
      <c r="J39" s="1038"/>
      <c r="K39" s="1039"/>
      <c r="L39" s="1037">
        <v>0.9</v>
      </c>
      <c r="M39" s="1038"/>
      <c r="N39" s="1039"/>
    </row>
    <row r="40" spans="1:14" s="19" customFormat="1">
      <c r="A40" s="388"/>
      <c r="B40" s="354" t="s">
        <v>363</v>
      </c>
      <c r="C40" s="397">
        <v>0.9</v>
      </c>
      <c r="D40" s="397">
        <v>0.9</v>
      </c>
      <c r="E40" s="397">
        <v>0.9</v>
      </c>
      <c r="F40" s="397">
        <v>0.9</v>
      </c>
      <c r="G40" s="397">
        <v>0.9</v>
      </c>
      <c r="H40" s="397">
        <v>0.9</v>
      </c>
      <c r="I40" s="397">
        <v>0.9</v>
      </c>
      <c r="J40" s="397">
        <v>0.9</v>
      </c>
      <c r="K40" s="397">
        <v>0.9</v>
      </c>
      <c r="L40" s="397">
        <v>0.9</v>
      </c>
      <c r="M40" s="397">
        <v>0.9</v>
      </c>
      <c r="N40" s="397">
        <v>0.9</v>
      </c>
    </row>
    <row r="41" spans="1:14" s="19" customFormat="1">
      <c r="A41" s="388"/>
      <c r="B41" s="355" t="s">
        <v>390</v>
      </c>
      <c r="C41" s="398"/>
      <c r="D41" s="398"/>
      <c r="E41" s="398"/>
      <c r="F41" s="398"/>
      <c r="G41" s="398"/>
      <c r="H41" s="398"/>
      <c r="I41" s="398"/>
      <c r="J41" s="398"/>
      <c r="K41" s="398"/>
      <c r="L41" s="398"/>
      <c r="M41" s="398"/>
      <c r="N41" s="398">
        <v>31</v>
      </c>
    </row>
    <row r="42" spans="1:14" s="19" customFormat="1" ht="22.5">
      <c r="A42" s="388"/>
      <c r="B42" s="355" t="s">
        <v>470</v>
      </c>
      <c r="C42" s="399"/>
      <c r="D42" s="399"/>
      <c r="E42" s="399"/>
      <c r="F42" s="399"/>
      <c r="G42" s="399"/>
      <c r="H42" s="399"/>
      <c r="I42" s="399"/>
      <c r="J42" s="399"/>
      <c r="K42" s="399"/>
      <c r="L42" s="399"/>
      <c r="M42" s="399"/>
      <c r="N42" s="400"/>
    </row>
    <row r="43" spans="1:14" s="19" customFormat="1">
      <c r="A43" s="388"/>
      <c r="B43" s="355" t="s">
        <v>366</v>
      </c>
      <c r="C43" s="401" t="str">
        <f>IFERROR(C42/C41,"")</f>
        <v/>
      </c>
      <c r="D43" s="401" t="str">
        <f t="shared" ref="D43:M43" si="0">IFERROR(D42/D41,"")</f>
        <v/>
      </c>
      <c r="E43" s="401" t="str">
        <f t="shared" si="0"/>
        <v/>
      </c>
      <c r="F43" s="401" t="str">
        <f t="shared" si="0"/>
        <v/>
      </c>
      <c r="G43" s="401" t="str">
        <f t="shared" si="0"/>
        <v/>
      </c>
      <c r="H43" s="401" t="str">
        <f t="shared" si="0"/>
        <v/>
      </c>
      <c r="I43" s="401" t="str">
        <f t="shared" si="0"/>
        <v/>
      </c>
      <c r="J43" s="401" t="str">
        <f t="shared" si="0"/>
        <v/>
      </c>
      <c r="K43" s="401" t="str">
        <f t="shared" si="0"/>
        <v/>
      </c>
      <c r="L43" s="401" t="str">
        <f t="shared" si="0"/>
        <v/>
      </c>
      <c r="M43" s="401" t="str">
        <f t="shared" si="0"/>
        <v/>
      </c>
      <c r="N43" s="401">
        <f>+N42</f>
        <v>0</v>
      </c>
    </row>
    <row r="44" spans="1:14" s="19" customFormat="1">
      <c r="A44" s="389"/>
      <c r="B44" s="390"/>
      <c r="C44" s="1036"/>
      <c r="D44" s="1036"/>
      <c r="E44" s="1036"/>
      <c r="F44" s="1036"/>
      <c r="G44" s="1036"/>
      <c r="H44" s="1036"/>
      <c r="I44" s="1036"/>
      <c r="J44" s="1036"/>
      <c r="K44" s="1036"/>
      <c r="L44" s="1036"/>
      <c r="M44" s="1036"/>
      <c r="N44" s="1036"/>
    </row>
    <row r="45" spans="1:14">
      <c r="C45" s="124" t="s">
        <v>130</v>
      </c>
      <c r="D45" s="124" t="s">
        <v>131</v>
      </c>
      <c r="E45" s="124" t="s">
        <v>132</v>
      </c>
      <c r="F45" s="124" t="s">
        <v>133</v>
      </c>
      <c r="G45" s="124" t="s">
        <v>134</v>
      </c>
      <c r="H45" s="124" t="s">
        <v>135</v>
      </c>
      <c r="I45" s="124" t="s">
        <v>136</v>
      </c>
      <c r="J45" s="124" t="s">
        <v>137</v>
      </c>
      <c r="K45" s="124" t="s">
        <v>138</v>
      </c>
      <c r="L45" s="124" t="s">
        <v>139</v>
      </c>
      <c r="M45" s="124" t="s">
        <v>140</v>
      </c>
      <c r="N45" s="124" t="s">
        <v>141</v>
      </c>
    </row>
    <row r="46" spans="1:14">
      <c r="B46" s="294" t="s">
        <v>52</v>
      </c>
      <c r="C46" s="292">
        <f>+N20</f>
        <v>0</v>
      </c>
      <c r="D46" s="296">
        <f>+C46</f>
        <v>0</v>
      </c>
      <c r="E46" s="296">
        <f t="shared" ref="E46:N46" si="1">+D46</f>
        <v>0</v>
      </c>
      <c r="F46" s="296">
        <f t="shared" si="1"/>
        <v>0</v>
      </c>
      <c r="G46" s="296">
        <f t="shared" si="1"/>
        <v>0</v>
      </c>
      <c r="H46" s="296">
        <f t="shared" si="1"/>
        <v>0</v>
      </c>
      <c r="I46" s="296">
        <f t="shared" si="1"/>
        <v>0</v>
      </c>
      <c r="J46" s="296">
        <f t="shared" si="1"/>
        <v>0</v>
      </c>
      <c r="K46" s="296">
        <f t="shared" si="1"/>
        <v>0</v>
      </c>
      <c r="L46" s="296">
        <f t="shared" si="1"/>
        <v>0</v>
      </c>
      <c r="M46" s="296">
        <f t="shared" si="1"/>
        <v>0</v>
      </c>
      <c r="N46" s="296">
        <f t="shared" si="1"/>
        <v>0</v>
      </c>
    </row>
    <row r="47" spans="1:14">
      <c r="B47" s="293" t="s">
        <v>143</v>
      </c>
      <c r="C47" s="292">
        <f>+N21</f>
        <v>0.9</v>
      </c>
      <c r="D47" s="296">
        <f>+C47</f>
        <v>0.9</v>
      </c>
      <c r="E47" s="296">
        <f t="shared" ref="E47:N47" si="2">+D47</f>
        <v>0.9</v>
      </c>
      <c r="F47" s="296">
        <f t="shared" si="2"/>
        <v>0.9</v>
      </c>
      <c r="G47" s="296">
        <f t="shared" si="2"/>
        <v>0.9</v>
      </c>
      <c r="H47" s="296">
        <f t="shared" si="2"/>
        <v>0.9</v>
      </c>
      <c r="I47" s="296">
        <f t="shared" si="2"/>
        <v>0.9</v>
      </c>
      <c r="J47" s="296">
        <f t="shared" si="2"/>
        <v>0.9</v>
      </c>
      <c r="K47" s="296">
        <f t="shared" si="2"/>
        <v>0.9</v>
      </c>
      <c r="L47" s="296">
        <f t="shared" si="2"/>
        <v>0.9</v>
      </c>
      <c r="M47" s="296">
        <f t="shared" si="2"/>
        <v>0.9</v>
      </c>
      <c r="N47" s="296">
        <f t="shared" si="2"/>
        <v>0.9</v>
      </c>
    </row>
    <row r="48" spans="1:14">
      <c r="B48" s="196"/>
      <c r="C48" s="197"/>
      <c r="D48" s="197"/>
      <c r="E48" s="197"/>
      <c r="F48" s="197"/>
      <c r="G48" s="197"/>
      <c r="H48" s="198"/>
      <c r="I48" s="198"/>
      <c r="J48" s="198"/>
      <c r="K48" s="198"/>
      <c r="L48" s="198"/>
      <c r="M48" s="198"/>
      <c r="N48" s="198"/>
    </row>
    <row r="49" spans="2:19">
      <c r="B49" s="196"/>
      <c r="C49" s="197"/>
      <c r="D49" s="198"/>
      <c r="E49" s="198"/>
      <c r="F49" s="198"/>
      <c r="G49" s="198"/>
      <c r="H49" s="198"/>
      <c r="I49" s="198"/>
      <c r="J49" s="198"/>
      <c r="K49" s="198"/>
      <c r="L49" s="198"/>
      <c r="M49" s="198"/>
      <c r="N49" s="198"/>
      <c r="Q49" s="4">
        <v>1</v>
      </c>
      <c r="S49" s="4">
        <v>4</v>
      </c>
    </row>
    <row r="50" spans="2:19">
      <c r="B50" s="196"/>
      <c r="C50" s="199"/>
      <c r="D50" s="200"/>
      <c r="E50" s="200"/>
      <c r="F50" s="200"/>
      <c r="G50" s="200"/>
      <c r="H50" s="200"/>
      <c r="I50" s="200"/>
      <c r="J50" s="200"/>
      <c r="K50" s="200"/>
      <c r="L50" s="200"/>
      <c r="M50" s="200"/>
      <c r="N50" s="200"/>
      <c r="Q50" s="4">
        <v>1</v>
      </c>
      <c r="S50" s="4">
        <v>4</v>
      </c>
    </row>
    <row r="51" spans="2:19">
      <c r="B51" s="196"/>
      <c r="C51" s="199"/>
      <c r="D51" s="200"/>
      <c r="E51" s="200"/>
      <c r="F51" s="200"/>
      <c r="G51" s="200"/>
      <c r="H51" s="200"/>
      <c r="I51" s="200"/>
      <c r="J51" s="200"/>
      <c r="K51" s="200"/>
      <c r="L51" s="200"/>
      <c r="M51" s="200"/>
      <c r="N51" s="200"/>
    </row>
    <row r="52" spans="2:19">
      <c r="B52" s="196"/>
      <c r="C52" s="201"/>
      <c r="D52" s="201"/>
      <c r="E52" s="201"/>
      <c r="F52" s="201"/>
      <c r="G52" s="201"/>
      <c r="H52" s="201"/>
      <c r="I52" s="201"/>
      <c r="J52" s="201"/>
      <c r="K52" s="201"/>
      <c r="L52" s="201"/>
      <c r="M52" s="201"/>
      <c r="N52" s="201"/>
    </row>
  </sheetData>
  <sheetProtection formatCells="0" formatColumns="0" formatRows="0"/>
  <mergeCells count="59">
    <mergeCell ref="G37:N37"/>
    <mergeCell ref="B30:F30"/>
    <mergeCell ref="G27:N27"/>
    <mergeCell ref="G28:N28"/>
    <mergeCell ref="B37:F37"/>
    <mergeCell ref="G30:N30"/>
    <mergeCell ref="B32:F32"/>
    <mergeCell ref="B29:F29"/>
    <mergeCell ref="B35:F35"/>
    <mergeCell ref="B36:F36"/>
    <mergeCell ref="G36:N36"/>
    <mergeCell ref="B31:F31"/>
    <mergeCell ref="G31:N31"/>
    <mergeCell ref="G32:N32"/>
    <mergeCell ref="G33:N33"/>
    <mergeCell ref="G34:N34"/>
    <mergeCell ref="G35:N35"/>
    <mergeCell ref="G29:N29"/>
    <mergeCell ref="I18:K18"/>
    <mergeCell ref="L18:N18"/>
    <mergeCell ref="C44:E44"/>
    <mergeCell ref="F44:H44"/>
    <mergeCell ref="I44:K44"/>
    <mergeCell ref="L44:N44"/>
    <mergeCell ref="C39:E39"/>
    <mergeCell ref="F39:H39"/>
    <mergeCell ref="I39:K39"/>
    <mergeCell ref="L39:N39"/>
    <mergeCell ref="G25:N25"/>
    <mergeCell ref="B25:F25"/>
    <mergeCell ref="B26:F26"/>
    <mergeCell ref="B27:F27"/>
    <mergeCell ref="B28:F28"/>
    <mergeCell ref="G26:N26"/>
    <mergeCell ref="B33:F33"/>
    <mergeCell ref="B34:F34"/>
    <mergeCell ref="A16:B16"/>
    <mergeCell ref="C16:N16"/>
    <mergeCell ref="C6:N6"/>
    <mergeCell ref="C7:N7"/>
    <mergeCell ref="C9:N9"/>
    <mergeCell ref="C12:N12"/>
    <mergeCell ref="A20:B20"/>
    <mergeCell ref="A13:B13"/>
    <mergeCell ref="C13:N13"/>
    <mergeCell ref="C14:N14"/>
    <mergeCell ref="C15:N15"/>
    <mergeCell ref="A18:B18"/>
    <mergeCell ref="C18:E18"/>
    <mergeCell ref="F18:H18"/>
    <mergeCell ref="A1:J4"/>
    <mergeCell ref="K1:L1"/>
    <mergeCell ref="M1:N1"/>
    <mergeCell ref="K2:L2"/>
    <mergeCell ref="M2:N2"/>
    <mergeCell ref="K3:L3"/>
    <mergeCell ref="M3:N3"/>
    <mergeCell ref="K4:L4"/>
    <mergeCell ref="M4:N4"/>
  </mergeCells>
  <hyperlinks>
    <hyperlink ref="O5" location="'Matriz Sta Ana'!A1" display="Volver" xr:uid="{7BA46D7D-442F-4029-B2EF-4236989B9930}"/>
  </hyperlinks>
  <pageMargins left="0.7" right="0.7" top="0.75" bottom="0.75" header="0.3" footer="0.3"/>
  <pageSetup scale="68" fitToHeight="0" orientation="portrait" r:id="rId1"/>
  <rowBreaks count="1" manualBreakCount="1">
    <brk id="24" max="13" man="1"/>
  </rowBreaks>
  <drawing r:id="rId2"/>
  <legacyDrawing r:id="rId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42B8A2-CAC4-486B-8E72-E22A273142DA}">
  <sheetPr>
    <tabColor rgb="FFFFFFCC"/>
    <pageSetUpPr fitToPage="1"/>
  </sheetPr>
  <dimension ref="A1:R50"/>
  <sheetViews>
    <sheetView view="pageBreakPreview" topLeftCell="A25" zoomScale="90" zoomScaleNormal="100" zoomScaleSheetLayoutView="90" workbookViewId="0">
      <selection activeCell="G33" sqref="G33:N33"/>
    </sheetView>
  </sheetViews>
  <sheetFormatPr baseColWidth="10" defaultColWidth="11.42578125" defaultRowHeight="16.5"/>
  <cols>
    <col min="1" max="1" width="7.42578125" style="5" customWidth="1"/>
    <col min="2" max="2" width="33.5703125" style="5" customWidth="1"/>
    <col min="3" max="3" width="9.5703125" style="4" customWidth="1"/>
    <col min="4" max="4" width="10.42578125" style="4" bestFit="1" customWidth="1"/>
    <col min="5" max="14" width="9.42578125" style="4" customWidth="1"/>
    <col min="15" max="15" width="17.85546875" style="4" bestFit="1" customWidth="1"/>
    <col min="16" max="16384" width="11.42578125" style="4"/>
  </cols>
  <sheetData>
    <row r="1" spans="1:18" ht="21.75" customHeight="1">
      <c r="A1" s="719" t="s">
        <v>113</v>
      </c>
      <c r="B1" s="720"/>
      <c r="C1" s="720"/>
      <c r="D1" s="720"/>
      <c r="E1" s="720"/>
      <c r="F1" s="720"/>
      <c r="G1" s="720"/>
      <c r="H1" s="720"/>
      <c r="I1" s="720"/>
      <c r="J1" s="721"/>
      <c r="K1" s="728" t="s">
        <v>114</v>
      </c>
      <c r="L1" s="729"/>
      <c r="M1" s="728"/>
      <c r="N1" s="729"/>
    </row>
    <row r="2" spans="1:18" ht="21.75" customHeight="1">
      <c r="A2" s="722"/>
      <c r="B2" s="723"/>
      <c r="C2" s="723"/>
      <c r="D2" s="723"/>
      <c r="E2" s="723"/>
      <c r="F2" s="723"/>
      <c r="G2" s="723"/>
      <c r="H2" s="723"/>
      <c r="I2" s="723"/>
      <c r="J2" s="724"/>
      <c r="K2" s="728" t="s">
        <v>115</v>
      </c>
      <c r="L2" s="729"/>
      <c r="M2" s="728">
        <v>0</v>
      </c>
      <c r="N2" s="729"/>
    </row>
    <row r="3" spans="1:18" ht="21.75" customHeight="1">
      <c r="A3" s="722"/>
      <c r="B3" s="723"/>
      <c r="C3" s="723"/>
      <c r="D3" s="723"/>
      <c r="E3" s="723"/>
      <c r="F3" s="723"/>
      <c r="G3" s="723"/>
      <c r="H3" s="723"/>
      <c r="I3" s="723"/>
      <c r="J3" s="724"/>
      <c r="K3" s="728" t="s">
        <v>116</v>
      </c>
      <c r="L3" s="729"/>
      <c r="M3" s="732">
        <v>43464</v>
      </c>
      <c r="N3" s="733"/>
    </row>
    <row r="4" spans="1:18" ht="21.75" customHeight="1">
      <c r="A4" s="725"/>
      <c r="B4" s="726"/>
      <c r="C4" s="726"/>
      <c r="D4" s="726"/>
      <c r="E4" s="726"/>
      <c r="F4" s="726"/>
      <c r="G4" s="726"/>
      <c r="H4" s="726"/>
      <c r="I4" s="726"/>
      <c r="J4" s="727"/>
      <c r="K4" s="728" t="s">
        <v>117</v>
      </c>
      <c r="L4" s="729"/>
      <c r="M4" s="732" t="s">
        <v>118</v>
      </c>
      <c r="N4" s="733"/>
    </row>
    <row r="5" spans="1:18" ht="27.75" customHeight="1">
      <c r="A5" s="256"/>
      <c r="B5" s="256"/>
      <c r="C5" s="280"/>
      <c r="D5" s="280"/>
      <c r="E5" s="280"/>
      <c r="F5" s="280"/>
      <c r="G5" s="280"/>
      <c r="H5" s="280"/>
      <c r="I5" s="280"/>
      <c r="J5" s="280"/>
      <c r="K5" s="280"/>
      <c r="L5" s="280"/>
      <c r="M5" s="281"/>
      <c r="N5" s="282" t="s">
        <v>119</v>
      </c>
      <c r="O5" s="52" t="s">
        <v>120</v>
      </c>
    </row>
    <row r="6" spans="1:18" ht="21" customHeight="1">
      <c r="A6" s="256" t="s">
        <v>121</v>
      </c>
      <c r="B6" s="256"/>
      <c r="C6" s="887" t="s">
        <v>88</v>
      </c>
      <c r="D6" s="887"/>
      <c r="E6" s="887"/>
      <c r="F6" s="887"/>
      <c r="G6" s="887"/>
      <c r="H6" s="887"/>
      <c r="I6" s="887"/>
      <c r="J6" s="887"/>
      <c r="K6" s="887"/>
      <c r="L6" s="887"/>
      <c r="M6" s="887"/>
      <c r="N6" s="887"/>
    </row>
    <row r="7" spans="1:18" ht="33.75" customHeight="1">
      <c r="A7" s="256" t="s">
        <v>3</v>
      </c>
      <c r="B7" s="256"/>
      <c r="C7" s="888" t="s">
        <v>446</v>
      </c>
      <c r="D7" s="888"/>
      <c r="E7" s="888"/>
      <c r="F7" s="888"/>
      <c r="G7" s="888"/>
      <c r="H7" s="888"/>
      <c r="I7" s="888"/>
      <c r="J7" s="888"/>
      <c r="K7" s="888"/>
      <c r="L7" s="888"/>
      <c r="M7" s="888"/>
      <c r="N7" s="888"/>
    </row>
    <row r="8" spans="1:18">
      <c r="A8" s="256" t="s">
        <v>122</v>
      </c>
      <c r="B8" s="256"/>
      <c r="C8" s="1040" t="s">
        <v>123</v>
      </c>
      <c r="D8" s="1040"/>
      <c r="E8" s="1040"/>
      <c r="F8" s="1040"/>
      <c r="G8" s="1040"/>
      <c r="H8" s="257"/>
      <c r="I8" s="257"/>
      <c r="J8" s="257"/>
      <c r="K8" s="257"/>
      <c r="L8" s="257"/>
      <c r="M8" s="257"/>
      <c r="N8" s="257"/>
    </row>
    <row r="9" spans="1:18" ht="20.25" customHeight="1">
      <c r="A9" s="256" t="s">
        <v>124</v>
      </c>
      <c r="B9" s="256"/>
      <c r="C9" s="889" t="s">
        <v>509</v>
      </c>
      <c r="D9" s="890"/>
      <c r="E9" s="890"/>
      <c r="F9" s="890"/>
      <c r="G9" s="890"/>
      <c r="H9" s="890"/>
      <c r="I9" s="890"/>
      <c r="J9" s="890"/>
      <c r="K9" s="890"/>
      <c r="L9" s="890"/>
      <c r="M9" s="890"/>
      <c r="N9" s="890"/>
    </row>
    <row r="10" spans="1:18">
      <c r="A10" s="256" t="s">
        <v>5</v>
      </c>
      <c r="B10" s="256"/>
      <c r="C10" s="258" t="s">
        <v>477</v>
      </c>
      <c r="D10" s="258"/>
      <c r="E10" s="258"/>
      <c r="F10" s="258"/>
      <c r="G10" s="258"/>
      <c r="H10" s="258"/>
      <c r="I10" s="258"/>
      <c r="J10" s="258"/>
      <c r="K10" s="258"/>
      <c r="L10" s="258"/>
      <c r="M10" s="258"/>
      <c r="N10" s="258"/>
      <c r="R10" s="157"/>
    </row>
    <row r="11" spans="1:18">
      <c r="A11" s="256" t="s">
        <v>6</v>
      </c>
      <c r="B11" s="256"/>
      <c r="C11" s="258" t="s">
        <v>396</v>
      </c>
      <c r="D11" s="258"/>
      <c r="E11" s="258"/>
      <c r="F11" s="258"/>
      <c r="G11" s="258"/>
      <c r="H11" s="258"/>
      <c r="I11" s="258"/>
      <c r="J11" s="258"/>
      <c r="K11" s="258"/>
      <c r="L11" s="258"/>
      <c r="M11" s="258"/>
      <c r="N11" s="258"/>
      <c r="R11" s="157"/>
    </row>
    <row r="12" spans="1:18" ht="15.75" customHeight="1">
      <c r="A12" s="256" t="s">
        <v>7</v>
      </c>
      <c r="B12" s="256"/>
      <c r="C12" s="888" t="s">
        <v>91</v>
      </c>
      <c r="D12" s="888"/>
      <c r="E12" s="888"/>
      <c r="F12" s="888"/>
      <c r="G12" s="888"/>
      <c r="H12" s="888"/>
      <c r="I12" s="888"/>
      <c r="J12" s="888"/>
      <c r="K12" s="888"/>
      <c r="L12" s="888"/>
      <c r="M12" s="888"/>
      <c r="N12" s="888"/>
    </row>
    <row r="13" spans="1:18" ht="30" customHeight="1">
      <c r="A13" s="891" t="s">
        <v>125</v>
      </c>
      <c r="B13" s="891"/>
      <c r="C13" s="888" t="s">
        <v>369</v>
      </c>
      <c r="D13" s="888"/>
      <c r="E13" s="888"/>
      <c r="F13" s="888"/>
      <c r="G13" s="888"/>
      <c r="H13" s="888"/>
      <c r="I13" s="888"/>
      <c r="J13" s="888"/>
      <c r="K13" s="888"/>
      <c r="L13" s="888"/>
      <c r="M13" s="888"/>
      <c r="N13" s="888"/>
    </row>
    <row r="14" spans="1:18" ht="18.75" customHeight="1">
      <c r="A14" s="256" t="s">
        <v>127</v>
      </c>
      <c r="B14" s="256"/>
      <c r="C14" s="888" t="s">
        <v>505</v>
      </c>
      <c r="D14" s="888"/>
      <c r="E14" s="888"/>
      <c r="F14" s="888"/>
      <c r="G14" s="888"/>
      <c r="H14" s="888"/>
      <c r="I14" s="888"/>
      <c r="J14" s="888"/>
      <c r="K14" s="888"/>
      <c r="L14" s="888"/>
      <c r="M14" s="888"/>
      <c r="N14" s="888"/>
    </row>
    <row r="15" spans="1:18" ht="19.5" customHeight="1">
      <c r="A15" s="256" t="s">
        <v>10</v>
      </c>
      <c r="B15" s="256"/>
      <c r="C15" s="895" t="s">
        <v>357</v>
      </c>
      <c r="D15" s="895"/>
      <c r="E15" s="895"/>
      <c r="F15" s="895"/>
      <c r="G15" s="895"/>
      <c r="H15" s="895"/>
      <c r="I15" s="895"/>
      <c r="J15" s="895"/>
      <c r="K15" s="895"/>
      <c r="L15" s="895"/>
      <c r="M15" s="895"/>
      <c r="N15" s="895"/>
    </row>
    <row r="16" spans="1:18" ht="20.25" customHeight="1">
      <c r="A16" s="886" t="s">
        <v>443</v>
      </c>
      <c r="B16" s="886"/>
      <c r="C16" s="708"/>
      <c r="D16" s="709"/>
      <c r="E16" s="709"/>
      <c r="F16" s="709"/>
      <c r="G16" s="709"/>
      <c r="H16" s="709"/>
      <c r="I16" s="709"/>
      <c r="J16" s="709"/>
      <c r="K16" s="709"/>
      <c r="L16" s="709"/>
      <c r="M16" s="709"/>
      <c r="N16" s="709"/>
      <c r="P16" s="415"/>
    </row>
    <row r="17" spans="1:14" ht="15" customHeight="1">
      <c r="A17" s="283"/>
      <c r="B17" s="283"/>
      <c r="C17" s="284"/>
      <c r="D17" s="284"/>
      <c r="E17" s="284"/>
      <c r="F17" s="284"/>
      <c r="G17" s="284"/>
      <c r="H17" s="284"/>
      <c r="I17" s="284"/>
      <c r="J17" s="256"/>
      <c r="K17" s="256"/>
      <c r="L17" s="256"/>
      <c r="M17" s="256"/>
      <c r="N17" s="256"/>
    </row>
    <row r="18" spans="1:14" ht="14.45" customHeight="1">
      <c r="A18" s="1045" t="s">
        <v>129</v>
      </c>
      <c r="B18" s="1046"/>
      <c r="C18" s="403" t="s">
        <v>130</v>
      </c>
      <c r="D18" s="403" t="s">
        <v>131</v>
      </c>
      <c r="E18" s="403" t="s">
        <v>132</v>
      </c>
      <c r="F18" s="403" t="s">
        <v>133</v>
      </c>
      <c r="G18" s="403" t="s">
        <v>134</v>
      </c>
      <c r="H18" s="403" t="s">
        <v>135</v>
      </c>
      <c r="I18" s="403" t="s">
        <v>136</v>
      </c>
      <c r="J18" s="403" t="s">
        <v>137</v>
      </c>
      <c r="K18" s="403" t="s">
        <v>138</v>
      </c>
      <c r="L18" s="403" t="s">
        <v>139</v>
      </c>
      <c r="M18" s="403" t="s">
        <v>140</v>
      </c>
      <c r="N18" s="403" t="s">
        <v>141</v>
      </c>
    </row>
    <row r="19" spans="1:14">
      <c r="A19" s="1047"/>
      <c r="B19" s="1048"/>
      <c r="C19" s="404">
        <v>1</v>
      </c>
      <c r="D19" s="404">
        <v>2</v>
      </c>
      <c r="E19" s="404">
        <v>3</v>
      </c>
      <c r="F19" s="404">
        <v>4</v>
      </c>
      <c r="G19" s="404">
        <v>5</v>
      </c>
      <c r="H19" s="404">
        <v>6</v>
      </c>
      <c r="I19" s="404">
        <v>7</v>
      </c>
      <c r="J19" s="404">
        <v>8</v>
      </c>
      <c r="K19" s="404">
        <v>9</v>
      </c>
      <c r="L19" s="404">
        <v>10</v>
      </c>
      <c r="M19" s="404">
        <v>11</v>
      </c>
      <c r="N19" s="404">
        <v>12</v>
      </c>
    </row>
    <row r="20" spans="1:14" ht="37.5" customHeight="1">
      <c r="A20" s="1049" t="s">
        <v>486</v>
      </c>
      <c r="B20" s="1050"/>
      <c r="C20" s="405">
        <f>+C45</f>
        <v>1</v>
      </c>
      <c r="D20" s="405">
        <f t="shared" ref="D20:N20" si="0">+D45</f>
        <v>1</v>
      </c>
      <c r="E20" s="405">
        <f t="shared" si="0"/>
        <v>1</v>
      </c>
      <c r="F20" s="405">
        <f t="shared" si="0"/>
        <v>1</v>
      </c>
      <c r="G20" s="405">
        <f t="shared" si="0"/>
        <v>1</v>
      </c>
      <c r="H20" s="405">
        <f t="shared" si="0"/>
        <v>1</v>
      </c>
      <c r="I20" s="405">
        <f t="shared" si="0"/>
        <v>1</v>
      </c>
      <c r="J20" s="405" t="e">
        <f t="shared" si="0"/>
        <v>#VALUE!</v>
      </c>
      <c r="K20" s="405" t="e">
        <f t="shared" si="0"/>
        <v>#VALUE!</v>
      </c>
      <c r="L20" s="405" t="e">
        <f>+L45</f>
        <v>#VALUE!</v>
      </c>
      <c r="M20" s="405" t="e">
        <f t="shared" si="0"/>
        <v>#VALUE!</v>
      </c>
      <c r="N20" s="405" t="e">
        <f t="shared" si="0"/>
        <v>#VALUE!</v>
      </c>
    </row>
    <row r="21" spans="1:14" ht="42" customHeight="1">
      <c r="A21" s="1043" t="s">
        <v>485</v>
      </c>
      <c r="B21" s="1044"/>
      <c r="C21" s="406">
        <v>1</v>
      </c>
      <c r="D21" s="406">
        <v>1</v>
      </c>
      <c r="E21" s="406">
        <v>1</v>
      </c>
      <c r="F21" s="406">
        <v>1</v>
      </c>
      <c r="G21" s="406">
        <v>1</v>
      </c>
      <c r="H21" s="406">
        <v>1</v>
      </c>
      <c r="I21" s="406">
        <v>1</v>
      </c>
      <c r="J21" s="406">
        <v>0.96</v>
      </c>
      <c r="K21" s="406">
        <v>0.96</v>
      </c>
      <c r="L21" s="406">
        <v>0.96</v>
      </c>
      <c r="M21" s="406">
        <v>0.96</v>
      </c>
      <c r="N21" s="406">
        <v>0.96</v>
      </c>
    </row>
    <row r="22" spans="1:14" s="19" customFormat="1" ht="220.5" customHeight="1">
      <c r="A22" s="1041" t="s">
        <v>487</v>
      </c>
      <c r="B22" s="1042"/>
      <c r="C22" s="407"/>
      <c r="D22" s="407"/>
      <c r="E22" s="407"/>
      <c r="F22" s="407"/>
      <c r="G22" s="407"/>
      <c r="H22" s="407"/>
      <c r="I22" s="407"/>
      <c r="J22" s="407"/>
      <c r="K22" s="407"/>
      <c r="L22" s="407"/>
      <c r="M22" s="407"/>
      <c r="N22" s="408"/>
    </row>
    <row r="23" spans="1:14" ht="7.5" customHeight="1">
      <c r="A23" s="256"/>
      <c r="B23" s="256"/>
      <c r="C23" s="280"/>
      <c r="D23" s="280"/>
      <c r="E23" s="280"/>
      <c r="F23" s="280"/>
      <c r="G23" s="280"/>
      <c r="H23" s="280"/>
      <c r="I23" s="280"/>
      <c r="J23" s="280"/>
      <c r="K23" s="280"/>
      <c r="L23" s="280"/>
      <c r="M23" s="280"/>
      <c r="N23" s="280"/>
    </row>
    <row r="24" spans="1:14" ht="25.5" customHeight="1">
      <c r="A24" s="558" t="s">
        <v>667</v>
      </c>
      <c r="B24" s="908" t="s">
        <v>145</v>
      </c>
      <c r="C24" s="908"/>
      <c r="D24" s="908"/>
      <c r="E24" s="908"/>
      <c r="F24" s="909"/>
      <c r="G24" s="911" t="s">
        <v>146</v>
      </c>
      <c r="H24" s="908"/>
      <c r="I24" s="908"/>
      <c r="J24" s="908"/>
      <c r="K24" s="908"/>
      <c r="L24" s="908"/>
      <c r="M24" s="908"/>
      <c r="N24" s="909"/>
    </row>
    <row r="25" spans="1:14" s="19" customFormat="1" ht="28.5" customHeight="1">
      <c r="A25" s="358" t="str">
        <f>+IF(C19&gt;0,C18,"")</f>
        <v>ene</v>
      </c>
      <c r="B25" s="900" t="s">
        <v>666</v>
      </c>
      <c r="C25" s="900"/>
      <c r="D25" s="900"/>
      <c r="E25" s="900"/>
      <c r="F25" s="901"/>
      <c r="G25" s="902" t="s">
        <v>663</v>
      </c>
      <c r="H25" s="903"/>
      <c r="I25" s="903"/>
      <c r="J25" s="903"/>
      <c r="K25" s="903"/>
      <c r="L25" s="903"/>
      <c r="M25" s="903"/>
      <c r="N25" s="904"/>
    </row>
    <row r="26" spans="1:14" s="203" customFormat="1" ht="27" customHeight="1">
      <c r="A26" s="359" t="str">
        <f>+IF(D19&gt;0,D18,"")</f>
        <v>feb</v>
      </c>
      <c r="B26" s="902" t="s">
        <v>666</v>
      </c>
      <c r="C26" s="903"/>
      <c r="D26" s="903"/>
      <c r="E26" s="903"/>
      <c r="F26" s="904"/>
      <c r="G26" s="902" t="s">
        <v>663</v>
      </c>
      <c r="H26" s="903"/>
      <c r="I26" s="903"/>
      <c r="J26" s="903"/>
      <c r="K26" s="903"/>
      <c r="L26" s="903"/>
      <c r="M26" s="903"/>
      <c r="N26" s="904"/>
    </row>
    <row r="27" spans="1:14" s="19" customFormat="1" ht="30" customHeight="1">
      <c r="A27" s="359" t="str">
        <f>+IF(E19&gt;0,E18,"")</f>
        <v>mar</v>
      </c>
      <c r="B27" s="902" t="s">
        <v>666</v>
      </c>
      <c r="C27" s="903"/>
      <c r="D27" s="903"/>
      <c r="E27" s="903"/>
      <c r="F27" s="904"/>
      <c r="G27" s="902" t="s">
        <v>663</v>
      </c>
      <c r="H27" s="903"/>
      <c r="I27" s="903"/>
      <c r="J27" s="903"/>
      <c r="K27" s="903"/>
      <c r="L27" s="903"/>
      <c r="M27" s="903"/>
      <c r="N27" s="904"/>
    </row>
    <row r="28" spans="1:14" s="19" customFormat="1" ht="30" customHeight="1">
      <c r="A28" s="359" t="str">
        <f>+IF(F19&gt;0,F18,"")</f>
        <v>abr</v>
      </c>
      <c r="B28" s="914" t="s">
        <v>666</v>
      </c>
      <c r="C28" s="915"/>
      <c r="D28" s="915"/>
      <c r="E28" s="915"/>
      <c r="F28" s="916"/>
      <c r="G28" s="917" t="s">
        <v>663</v>
      </c>
      <c r="H28" s="915"/>
      <c r="I28" s="915"/>
      <c r="J28" s="915"/>
      <c r="K28" s="915"/>
      <c r="L28" s="915"/>
      <c r="M28" s="915"/>
      <c r="N28" s="916"/>
    </row>
    <row r="29" spans="1:14" s="19" customFormat="1" ht="28.5" customHeight="1">
      <c r="A29" s="359" t="str">
        <f>+IF(G19&gt;0,G18,"")</f>
        <v>may</v>
      </c>
      <c r="B29" s="914" t="s">
        <v>666</v>
      </c>
      <c r="C29" s="915"/>
      <c r="D29" s="915"/>
      <c r="E29" s="915"/>
      <c r="F29" s="916"/>
      <c r="G29" s="917" t="s">
        <v>663</v>
      </c>
      <c r="H29" s="915"/>
      <c r="I29" s="915"/>
      <c r="J29" s="915"/>
      <c r="K29" s="915"/>
      <c r="L29" s="915"/>
      <c r="M29" s="915"/>
      <c r="N29" s="916"/>
    </row>
    <row r="30" spans="1:14" s="19" customFormat="1" ht="29.25" customHeight="1">
      <c r="A30" s="359" t="str">
        <f>+IF(H19&gt;0,H18,"")</f>
        <v>jun</v>
      </c>
      <c r="B30" s="914" t="s">
        <v>666</v>
      </c>
      <c r="C30" s="915"/>
      <c r="D30" s="915"/>
      <c r="E30" s="915"/>
      <c r="F30" s="916"/>
      <c r="G30" s="917" t="s">
        <v>663</v>
      </c>
      <c r="H30" s="915"/>
      <c r="I30" s="915"/>
      <c r="J30" s="915"/>
      <c r="K30" s="915"/>
      <c r="L30" s="915"/>
      <c r="M30" s="915"/>
      <c r="N30" s="916"/>
    </row>
    <row r="31" spans="1:14" s="19" customFormat="1" ht="30.75" customHeight="1">
      <c r="A31" s="359" t="str">
        <f>+IF(I19&gt;0,I18,"")</f>
        <v>jul</v>
      </c>
      <c r="B31" s="914" t="s">
        <v>666</v>
      </c>
      <c r="C31" s="915"/>
      <c r="D31" s="915"/>
      <c r="E31" s="915"/>
      <c r="F31" s="916"/>
      <c r="G31" s="917" t="s">
        <v>663</v>
      </c>
      <c r="H31" s="915"/>
      <c r="I31" s="915"/>
      <c r="J31" s="915"/>
      <c r="K31" s="915"/>
      <c r="L31" s="915"/>
      <c r="M31" s="915"/>
      <c r="N31" s="916"/>
    </row>
    <row r="32" spans="1:14" s="19" customFormat="1" ht="28.5" customHeight="1">
      <c r="A32" s="359" t="str">
        <f>+IF(J19&gt;0,J18,"")</f>
        <v>ago</v>
      </c>
      <c r="B32" s="914" t="s">
        <v>666</v>
      </c>
      <c r="C32" s="915"/>
      <c r="D32" s="915"/>
      <c r="E32" s="915"/>
      <c r="F32" s="916"/>
      <c r="G32" s="917" t="s">
        <v>663</v>
      </c>
      <c r="H32" s="915"/>
      <c r="I32" s="915"/>
      <c r="J32" s="915"/>
      <c r="K32" s="915"/>
      <c r="L32" s="915"/>
      <c r="M32" s="915"/>
      <c r="N32" s="916"/>
    </row>
    <row r="33" spans="1:15" s="19" customFormat="1" ht="26.45" customHeight="1">
      <c r="A33" s="359" t="str">
        <f>+IF(K19&gt;0,K18,"")</f>
        <v>sep</v>
      </c>
      <c r="B33" s="914" t="s">
        <v>666</v>
      </c>
      <c r="C33" s="915"/>
      <c r="D33" s="915"/>
      <c r="E33" s="915"/>
      <c r="F33" s="916"/>
      <c r="G33" s="917" t="s">
        <v>663</v>
      </c>
      <c r="H33" s="915"/>
      <c r="I33" s="915"/>
      <c r="J33" s="915"/>
      <c r="K33" s="915"/>
      <c r="L33" s="915"/>
      <c r="M33" s="915"/>
      <c r="N33" s="916"/>
    </row>
    <row r="34" spans="1:15" s="19" customFormat="1" ht="29.25" customHeight="1">
      <c r="A34" s="359" t="str">
        <f>+IF(L19&gt;0,L18,"")</f>
        <v>oct</v>
      </c>
      <c r="B34" s="914"/>
      <c r="C34" s="915"/>
      <c r="D34" s="915"/>
      <c r="E34" s="915"/>
      <c r="F34" s="916"/>
      <c r="G34" s="917"/>
      <c r="H34" s="915"/>
      <c r="I34" s="915"/>
      <c r="J34" s="915"/>
      <c r="K34" s="915"/>
      <c r="L34" s="915"/>
      <c r="M34" s="915"/>
      <c r="N34" s="916"/>
    </row>
    <row r="35" spans="1:15" s="19" customFormat="1" ht="24" customHeight="1">
      <c r="A35" s="359" t="str">
        <f>+IF(M19&gt;0,M18,"")</f>
        <v>nov</v>
      </c>
      <c r="B35" s="914"/>
      <c r="C35" s="915"/>
      <c r="D35" s="915"/>
      <c r="E35" s="915"/>
      <c r="F35" s="916"/>
      <c r="G35" s="917"/>
      <c r="H35" s="915"/>
      <c r="I35" s="915"/>
      <c r="J35" s="915"/>
      <c r="K35" s="915"/>
      <c r="L35" s="915"/>
      <c r="M35" s="915"/>
      <c r="N35" s="916"/>
    </row>
    <row r="36" spans="1:15" s="19" customFormat="1" ht="28.5" customHeight="1">
      <c r="A36" s="360" t="str">
        <f>+IF(N19&gt;0,N18,"")</f>
        <v>dic</v>
      </c>
      <c r="B36" s="914"/>
      <c r="C36" s="915"/>
      <c r="D36" s="915"/>
      <c r="E36" s="915"/>
      <c r="F36" s="916"/>
      <c r="G36" s="917"/>
      <c r="H36" s="915"/>
      <c r="I36" s="915"/>
      <c r="J36" s="915"/>
      <c r="K36" s="915"/>
      <c r="L36" s="915"/>
      <c r="M36" s="915"/>
      <c r="N36" s="916"/>
    </row>
    <row r="37" spans="1:15">
      <c r="A37" s="256"/>
      <c r="B37" s="256"/>
      <c r="C37" s="280"/>
      <c r="D37" s="280"/>
      <c r="E37" s="280"/>
      <c r="F37" s="280"/>
      <c r="G37" s="280"/>
      <c r="H37" s="280"/>
      <c r="I37" s="280"/>
      <c r="J37" s="280"/>
      <c r="K37" s="280"/>
      <c r="L37" s="280"/>
      <c r="M37" s="280"/>
      <c r="N37" s="280"/>
    </row>
    <row r="38" spans="1:15">
      <c r="A38" s="256"/>
      <c r="B38" s="441" t="s">
        <v>362</v>
      </c>
      <c r="C38" s="442" t="s">
        <v>506</v>
      </c>
      <c r="D38" s="442" t="s">
        <v>492</v>
      </c>
      <c r="E38" s="442" t="s">
        <v>493</v>
      </c>
      <c r="F38" s="442" t="s">
        <v>494</v>
      </c>
      <c r="G38" s="442" t="s">
        <v>495</v>
      </c>
      <c r="H38" s="442" t="s">
        <v>496</v>
      </c>
      <c r="I38" s="442" t="s">
        <v>497</v>
      </c>
      <c r="J38" s="442" t="s">
        <v>507</v>
      </c>
      <c r="K38" s="442" t="s">
        <v>138</v>
      </c>
      <c r="L38" s="442" t="s">
        <v>139</v>
      </c>
      <c r="M38" s="442" t="s">
        <v>140</v>
      </c>
      <c r="N38" s="442" t="s">
        <v>141</v>
      </c>
    </row>
    <row r="39" spans="1:15" ht="33">
      <c r="A39" s="256"/>
      <c r="B39" s="409" t="s">
        <v>508</v>
      </c>
      <c r="C39" s="445">
        <v>0.96</v>
      </c>
      <c r="D39" s="445">
        <v>0.96</v>
      </c>
      <c r="E39" s="445">
        <v>0.96</v>
      </c>
      <c r="F39" s="445">
        <v>0.96</v>
      </c>
      <c r="G39" s="445">
        <v>0.96</v>
      </c>
      <c r="H39" s="445">
        <v>0.96</v>
      </c>
      <c r="I39" s="445">
        <v>0.96</v>
      </c>
      <c r="J39" s="445">
        <v>0.96</v>
      </c>
      <c r="K39" s="445">
        <v>0.96</v>
      </c>
      <c r="L39" s="445">
        <v>0.96</v>
      </c>
      <c r="M39" s="445">
        <v>0.96</v>
      </c>
      <c r="N39" s="445">
        <v>0.96</v>
      </c>
      <c r="O39" s="465" t="s">
        <v>640</v>
      </c>
    </row>
    <row r="40" spans="1:15" ht="25.5">
      <c r="A40" s="256"/>
      <c r="B40" s="412" t="s">
        <v>397</v>
      </c>
      <c r="C40" s="443">
        <v>0</v>
      </c>
      <c r="D40" s="443">
        <v>0</v>
      </c>
      <c r="E40" s="443">
        <v>0</v>
      </c>
      <c r="F40" s="443">
        <v>0</v>
      </c>
      <c r="G40" s="443">
        <v>0</v>
      </c>
      <c r="H40" s="443">
        <v>0</v>
      </c>
      <c r="I40" s="443">
        <v>0</v>
      </c>
      <c r="J40" s="443"/>
      <c r="K40" s="443"/>
      <c r="L40" s="443"/>
      <c r="M40" s="443"/>
      <c r="N40" s="443"/>
      <c r="O40" s="235">
        <f>SUM(C40:N40)</f>
        <v>0</v>
      </c>
    </row>
    <row r="41" spans="1:15">
      <c r="A41" s="256"/>
      <c r="B41" s="412" t="s">
        <v>475</v>
      </c>
      <c r="C41" s="443">
        <v>200000</v>
      </c>
      <c r="D41" s="443">
        <v>200000</v>
      </c>
      <c r="E41" s="443">
        <v>200000</v>
      </c>
      <c r="F41" s="443">
        <v>200000</v>
      </c>
      <c r="G41" s="443">
        <v>200000</v>
      </c>
      <c r="H41" s="443">
        <v>200000</v>
      </c>
      <c r="I41" s="443">
        <v>200000</v>
      </c>
      <c r="J41" s="443">
        <v>200000</v>
      </c>
      <c r="K41" s="443">
        <v>200000</v>
      </c>
      <c r="L41" s="443">
        <v>200000</v>
      </c>
      <c r="M41" s="443">
        <v>200000</v>
      </c>
      <c r="N41" s="443">
        <v>200000</v>
      </c>
    </row>
    <row r="42" spans="1:15" ht="25.5">
      <c r="A42" s="256"/>
      <c r="B42" s="412" t="s">
        <v>398</v>
      </c>
      <c r="C42" s="443">
        <v>27</v>
      </c>
      <c r="D42" s="443">
        <v>27</v>
      </c>
      <c r="E42" s="443">
        <v>28</v>
      </c>
      <c r="F42" s="443">
        <v>28</v>
      </c>
      <c r="G42" s="443">
        <v>28</v>
      </c>
      <c r="H42" s="443">
        <v>28</v>
      </c>
      <c r="I42" s="443">
        <v>28</v>
      </c>
      <c r="J42" s="443"/>
      <c r="K42" s="443"/>
      <c r="L42" s="443"/>
      <c r="M42" s="443"/>
      <c r="N42" s="443"/>
    </row>
    <row r="43" spans="1:15" hidden="1">
      <c r="A43" s="256"/>
      <c r="B43" s="412" t="s">
        <v>366</v>
      </c>
      <c r="C43" s="411">
        <f t="shared" ref="C43:N43" si="1">IFERROR((((C40/C42)*100%))-100%,"")</f>
        <v>-1</v>
      </c>
      <c r="D43" s="411">
        <f t="shared" si="1"/>
        <v>-1</v>
      </c>
      <c r="E43" s="411">
        <f t="shared" si="1"/>
        <v>-1</v>
      </c>
      <c r="F43" s="411">
        <f t="shared" si="1"/>
        <v>-1</v>
      </c>
      <c r="G43" s="411">
        <f t="shared" si="1"/>
        <v>-1</v>
      </c>
      <c r="H43" s="411">
        <f t="shared" si="1"/>
        <v>-1</v>
      </c>
      <c r="I43" s="411">
        <f t="shared" si="1"/>
        <v>-1</v>
      </c>
      <c r="J43" s="411" t="str">
        <f t="shared" si="1"/>
        <v/>
      </c>
      <c r="K43" s="411" t="str">
        <f t="shared" si="1"/>
        <v/>
      </c>
      <c r="L43" s="411" t="str">
        <f t="shared" si="1"/>
        <v/>
      </c>
      <c r="M43" s="411" t="str">
        <f t="shared" si="1"/>
        <v/>
      </c>
      <c r="N43" s="411" t="str">
        <f t="shared" si="1"/>
        <v/>
      </c>
    </row>
    <row r="44" spans="1:15">
      <c r="A44" s="256"/>
      <c r="B44" s="412" t="s">
        <v>476</v>
      </c>
      <c r="C44" s="444">
        <f>(C40*C41)/C42</f>
        <v>0</v>
      </c>
      <c r="D44" s="444">
        <f t="shared" ref="D44:N44" si="2">(D40*D41)/D42</f>
        <v>0</v>
      </c>
      <c r="E44" s="444">
        <f t="shared" si="2"/>
        <v>0</v>
      </c>
      <c r="F44" s="444">
        <f t="shared" si="2"/>
        <v>0</v>
      </c>
      <c r="G44" s="444">
        <f t="shared" si="2"/>
        <v>0</v>
      </c>
      <c r="H44" s="444">
        <f t="shared" si="2"/>
        <v>0</v>
      </c>
      <c r="I44" s="444">
        <f t="shared" si="2"/>
        <v>0</v>
      </c>
      <c r="J44" s="444" t="e">
        <f t="shared" si="2"/>
        <v>#DIV/0!</v>
      </c>
      <c r="K44" s="444" t="e">
        <f t="shared" si="2"/>
        <v>#DIV/0!</v>
      </c>
      <c r="L44" s="444" t="e">
        <f>(L40*L41)/L42</f>
        <v>#DIV/0!</v>
      </c>
      <c r="M44" s="444" t="e">
        <f t="shared" si="2"/>
        <v>#DIV/0!</v>
      </c>
      <c r="N44" s="444" t="e">
        <f t="shared" si="2"/>
        <v>#DIV/0!</v>
      </c>
    </row>
    <row r="45" spans="1:15">
      <c r="A45" s="256"/>
      <c r="B45" s="414" t="s">
        <v>121</v>
      </c>
      <c r="C45" s="411">
        <f>100%-C46</f>
        <v>1</v>
      </c>
      <c r="D45" s="411">
        <f t="shared" ref="D45:N45" si="3">100%-D46</f>
        <v>1</v>
      </c>
      <c r="E45" s="411">
        <f t="shared" si="3"/>
        <v>1</v>
      </c>
      <c r="F45" s="411">
        <f t="shared" si="3"/>
        <v>1</v>
      </c>
      <c r="G45" s="411">
        <f t="shared" si="3"/>
        <v>1</v>
      </c>
      <c r="H45" s="411">
        <f t="shared" si="3"/>
        <v>1</v>
      </c>
      <c r="I45" s="411">
        <f t="shared" si="3"/>
        <v>1</v>
      </c>
      <c r="J45" s="411" t="e">
        <f t="shared" si="3"/>
        <v>#VALUE!</v>
      </c>
      <c r="K45" s="411" t="e">
        <f t="shared" si="3"/>
        <v>#VALUE!</v>
      </c>
      <c r="L45" s="411" t="e">
        <f>100%-L46</f>
        <v>#VALUE!</v>
      </c>
      <c r="M45" s="411" t="e">
        <f t="shared" si="3"/>
        <v>#VALUE!</v>
      </c>
      <c r="N45" s="411" t="e">
        <f t="shared" si="3"/>
        <v>#VALUE!</v>
      </c>
      <c r="O45" s="233" t="e">
        <f>AVERAGE(C45:N45)</f>
        <v>#VALUE!</v>
      </c>
    </row>
    <row r="46" spans="1:15">
      <c r="A46" s="256"/>
      <c r="B46" s="280" t="s">
        <v>399</v>
      </c>
      <c r="C46" s="440">
        <f t="shared" ref="C46:N46" si="4">IFERROR((C40/C42)*100%,"")</f>
        <v>0</v>
      </c>
      <c r="D46" s="440">
        <f t="shared" si="4"/>
        <v>0</v>
      </c>
      <c r="E46" s="440">
        <f t="shared" si="4"/>
        <v>0</v>
      </c>
      <c r="F46" s="440">
        <f t="shared" si="4"/>
        <v>0</v>
      </c>
      <c r="G46" s="440">
        <f t="shared" si="4"/>
        <v>0</v>
      </c>
      <c r="H46" s="440">
        <f t="shared" si="4"/>
        <v>0</v>
      </c>
      <c r="I46" s="440">
        <f t="shared" si="4"/>
        <v>0</v>
      </c>
      <c r="J46" s="440" t="str">
        <f t="shared" si="4"/>
        <v/>
      </c>
      <c r="K46" s="440" t="str">
        <f t="shared" si="4"/>
        <v/>
      </c>
      <c r="L46" s="440" t="str">
        <f>IFERROR((L40/L42)*100%,"")</f>
        <v/>
      </c>
      <c r="M46" s="440" t="str">
        <f t="shared" si="4"/>
        <v/>
      </c>
      <c r="N46" s="440" t="str">
        <f t="shared" si="4"/>
        <v/>
      </c>
    </row>
    <row r="47" spans="1:15" hidden="1">
      <c r="B47" s="205" t="s">
        <v>400</v>
      </c>
      <c r="C47" s="206">
        <f t="shared" ref="C47:N47" si="5">IFERROR(C40/C42,"")</f>
        <v>0</v>
      </c>
      <c r="D47" s="206">
        <f t="shared" si="5"/>
        <v>0</v>
      </c>
      <c r="E47" s="206">
        <f t="shared" si="5"/>
        <v>0</v>
      </c>
      <c r="F47" s="206">
        <f t="shared" si="5"/>
        <v>0</v>
      </c>
      <c r="G47" s="206">
        <f t="shared" si="5"/>
        <v>0</v>
      </c>
      <c r="H47" s="206">
        <f t="shared" si="5"/>
        <v>0</v>
      </c>
      <c r="I47" s="206">
        <f t="shared" si="5"/>
        <v>0</v>
      </c>
      <c r="J47" s="206" t="str">
        <f t="shared" si="5"/>
        <v/>
      </c>
      <c r="K47" s="206" t="str">
        <f t="shared" si="5"/>
        <v/>
      </c>
      <c r="L47" s="206" t="str">
        <f t="shared" si="5"/>
        <v/>
      </c>
      <c r="M47" s="206" t="str">
        <f t="shared" si="5"/>
        <v/>
      </c>
      <c r="N47" s="206" t="str">
        <f t="shared" si="5"/>
        <v/>
      </c>
    </row>
    <row r="48" spans="1:15" hidden="1">
      <c r="B48" s="207" t="s">
        <v>401</v>
      </c>
      <c r="C48" s="208">
        <f t="shared" ref="C48:N48" si="6">IFERROR(1/C42,"")</f>
        <v>3.7037037037037035E-2</v>
      </c>
      <c r="D48" s="208">
        <f t="shared" si="6"/>
        <v>3.7037037037037035E-2</v>
      </c>
      <c r="E48" s="208">
        <f t="shared" si="6"/>
        <v>3.5714285714285712E-2</v>
      </c>
      <c r="F48" s="208">
        <f t="shared" si="6"/>
        <v>3.5714285714285712E-2</v>
      </c>
      <c r="G48" s="208">
        <f t="shared" si="6"/>
        <v>3.5714285714285712E-2</v>
      </c>
      <c r="H48" s="208">
        <f t="shared" si="6"/>
        <v>3.5714285714285712E-2</v>
      </c>
      <c r="I48" s="208">
        <f t="shared" si="6"/>
        <v>3.5714285714285712E-2</v>
      </c>
      <c r="J48" s="208" t="str">
        <f t="shared" si="6"/>
        <v/>
      </c>
      <c r="K48" s="208" t="str">
        <f t="shared" si="6"/>
        <v/>
      </c>
      <c r="L48" s="208" t="str">
        <f t="shared" si="6"/>
        <v/>
      </c>
      <c r="M48" s="208" t="str">
        <f t="shared" si="6"/>
        <v/>
      </c>
      <c r="N48" s="208" t="str">
        <f t="shared" si="6"/>
        <v/>
      </c>
    </row>
    <row r="49" spans="2:5" ht="25.5">
      <c r="B49" s="552" t="s">
        <v>639</v>
      </c>
      <c r="C49" s="551" t="str">
        <f>IF(O40=1,"96%",IF(O40=2,"92%",IF(O40=3,"88%",IF(O40=4,"84%",IF(O40=5,"80%",IF(O40=0,"100%","ERROR"))))))</f>
        <v>100%</v>
      </c>
    </row>
    <row r="50" spans="2:5">
      <c r="E50" s="560"/>
    </row>
  </sheetData>
  <sheetProtection formatCells="0" formatColumns="0" formatRows="0"/>
  <mergeCells count="51">
    <mergeCell ref="B26:F26"/>
    <mergeCell ref="G26:N26"/>
    <mergeCell ref="B30:F30"/>
    <mergeCell ref="G30:N30"/>
    <mergeCell ref="B31:F31"/>
    <mergeCell ref="G31:N31"/>
    <mergeCell ref="G27:N27"/>
    <mergeCell ref="B28:F28"/>
    <mergeCell ref="G28:N28"/>
    <mergeCell ref="B29:F29"/>
    <mergeCell ref="G29:N29"/>
    <mergeCell ref="B27:F27"/>
    <mergeCell ref="B32:F32"/>
    <mergeCell ref="G32:N32"/>
    <mergeCell ref="B36:F36"/>
    <mergeCell ref="G36:N36"/>
    <mergeCell ref="B33:F33"/>
    <mergeCell ref="G33:N33"/>
    <mergeCell ref="B34:F34"/>
    <mergeCell ref="G34:N34"/>
    <mergeCell ref="B35:F35"/>
    <mergeCell ref="G35:N35"/>
    <mergeCell ref="C14:N14"/>
    <mergeCell ref="C15:N15"/>
    <mergeCell ref="A18:B18"/>
    <mergeCell ref="A19:B19"/>
    <mergeCell ref="A20:B20"/>
    <mergeCell ref="A16:B16"/>
    <mergeCell ref="C16:N16"/>
    <mergeCell ref="A22:B22"/>
    <mergeCell ref="G24:N24"/>
    <mergeCell ref="B25:F25"/>
    <mergeCell ref="G25:N25"/>
    <mergeCell ref="A21:B21"/>
    <mergeCell ref="B24:F24"/>
    <mergeCell ref="C6:N6"/>
    <mergeCell ref="C7:N7"/>
    <mergeCell ref="C9:N9"/>
    <mergeCell ref="C12:N12"/>
    <mergeCell ref="A13:B13"/>
    <mergeCell ref="C13:N13"/>
    <mergeCell ref="C8:G8"/>
    <mergeCell ref="A1:J4"/>
    <mergeCell ref="K1:L1"/>
    <mergeCell ref="M1:N1"/>
    <mergeCell ref="K2:L2"/>
    <mergeCell ref="M2:N2"/>
    <mergeCell ref="K3:L3"/>
    <mergeCell ref="M3:N3"/>
    <mergeCell ref="K4:L4"/>
    <mergeCell ref="M4:N4"/>
  </mergeCells>
  <hyperlinks>
    <hyperlink ref="O5" location="'Matriz Sta Ana'!A1" display="Volver" xr:uid="{C06DE3FE-89DA-46AE-A30B-BBD3A2E0DBF1}"/>
  </hyperlinks>
  <pageMargins left="0.7" right="0.7" top="0.75" bottom="0.75" header="0.3" footer="0.3"/>
  <pageSetup scale="58" fitToHeight="0" orientation="portrait" r:id="rId1"/>
  <rowBreaks count="1" manualBreakCount="1">
    <brk id="21" max="13" man="1"/>
  </rowBreaks>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134934-8707-4597-8FFF-A99A89AD20A2}">
  <sheetPr>
    <tabColor rgb="FFFFFFCC"/>
    <pageSetUpPr fitToPage="1"/>
  </sheetPr>
  <dimension ref="A1:R48"/>
  <sheetViews>
    <sheetView view="pageBreakPreview" topLeftCell="A32" zoomScaleNormal="100" zoomScaleSheetLayoutView="100" workbookViewId="0">
      <selection activeCell="B33" sqref="B33:F33"/>
    </sheetView>
  </sheetViews>
  <sheetFormatPr baseColWidth="10" defaultColWidth="11.42578125" defaultRowHeight="16.5"/>
  <cols>
    <col min="1" max="1" width="7.42578125" style="5" customWidth="1"/>
    <col min="2" max="2" width="35.42578125" style="5" customWidth="1"/>
    <col min="3" max="3" width="11.42578125" style="4" customWidth="1"/>
    <col min="4" max="4" width="7.140625" style="4" customWidth="1"/>
    <col min="5" max="5" width="7.42578125" style="4" customWidth="1"/>
    <col min="6" max="6" width="9" style="4" customWidth="1"/>
    <col min="7" max="13" width="7.140625" style="4" customWidth="1"/>
    <col min="14" max="14" width="8.140625" style="4" customWidth="1"/>
    <col min="15" max="15" width="9.5703125" style="4" customWidth="1"/>
    <col min="16" max="16" width="11.42578125" style="4"/>
    <col min="17" max="17" width="37.140625" style="4" customWidth="1"/>
    <col min="18" max="16384" width="11.42578125" style="4"/>
  </cols>
  <sheetData>
    <row r="1" spans="1:16" ht="21.75" customHeight="1">
      <c r="A1" s="719" t="s">
        <v>113</v>
      </c>
      <c r="B1" s="720"/>
      <c r="C1" s="720"/>
      <c r="D1" s="720"/>
      <c r="E1" s="720"/>
      <c r="F1" s="720"/>
      <c r="G1" s="720"/>
      <c r="H1" s="720"/>
      <c r="I1" s="720"/>
      <c r="J1" s="721"/>
      <c r="K1" s="728" t="s">
        <v>114</v>
      </c>
      <c r="L1" s="729"/>
      <c r="M1" s="728"/>
      <c r="N1" s="729"/>
    </row>
    <row r="2" spans="1:16" ht="21.75" customHeight="1">
      <c r="A2" s="722"/>
      <c r="B2" s="723"/>
      <c r="C2" s="723"/>
      <c r="D2" s="723"/>
      <c r="E2" s="723"/>
      <c r="F2" s="723"/>
      <c r="G2" s="723"/>
      <c r="H2" s="723"/>
      <c r="I2" s="723"/>
      <c r="J2" s="724"/>
      <c r="K2" s="728" t="s">
        <v>115</v>
      </c>
      <c r="L2" s="729"/>
      <c r="M2" s="728">
        <v>0</v>
      </c>
      <c r="N2" s="729"/>
    </row>
    <row r="3" spans="1:16" ht="21.75" customHeight="1">
      <c r="A3" s="722"/>
      <c r="B3" s="723"/>
      <c r="C3" s="723"/>
      <c r="D3" s="723"/>
      <c r="E3" s="723"/>
      <c r="F3" s="723"/>
      <c r="G3" s="723"/>
      <c r="H3" s="723"/>
      <c r="I3" s="723"/>
      <c r="J3" s="724"/>
      <c r="K3" s="728" t="s">
        <v>116</v>
      </c>
      <c r="L3" s="729"/>
      <c r="M3" s="732">
        <v>43464</v>
      </c>
      <c r="N3" s="733"/>
    </row>
    <row r="4" spans="1:16" ht="21.75" customHeight="1">
      <c r="A4" s="725"/>
      <c r="B4" s="726"/>
      <c r="C4" s="726"/>
      <c r="D4" s="726"/>
      <c r="E4" s="726"/>
      <c r="F4" s="726"/>
      <c r="G4" s="726"/>
      <c r="H4" s="726"/>
      <c r="I4" s="726"/>
      <c r="J4" s="727"/>
      <c r="K4" s="728" t="s">
        <v>117</v>
      </c>
      <c r="L4" s="729"/>
      <c r="M4" s="732" t="s">
        <v>118</v>
      </c>
      <c r="N4" s="733"/>
    </row>
    <row r="5" spans="1:16" ht="27.75" customHeight="1">
      <c r="A5" s="256"/>
      <c r="B5" s="256"/>
      <c r="C5" s="280"/>
      <c r="D5" s="280"/>
      <c r="E5" s="280"/>
      <c r="F5" s="280"/>
      <c r="G5" s="280"/>
      <c r="H5" s="280"/>
      <c r="I5" s="280"/>
      <c r="J5" s="280"/>
      <c r="K5" s="280"/>
      <c r="L5" s="280"/>
      <c r="M5" s="281"/>
      <c r="N5" s="282" t="s">
        <v>119</v>
      </c>
      <c r="O5" s="52" t="s">
        <v>120</v>
      </c>
      <c r="P5" s="52" t="s">
        <v>120</v>
      </c>
    </row>
    <row r="6" spans="1:16" ht="19.5" customHeight="1">
      <c r="A6" s="256" t="s">
        <v>121</v>
      </c>
      <c r="B6" s="256"/>
      <c r="C6" s="887" t="s">
        <v>414</v>
      </c>
      <c r="D6" s="887"/>
      <c r="E6" s="887"/>
      <c r="F6" s="887"/>
      <c r="G6" s="887"/>
      <c r="H6" s="887"/>
      <c r="I6" s="887"/>
      <c r="J6" s="887"/>
      <c r="K6" s="887"/>
      <c r="L6" s="887"/>
      <c r="M6" s="887"/>
      <c r="N6" s="887"/>
    </row>
    <row r="7" spans="1:16" ht="18.75" customHeight="1">
      <c r="A7" s="256" t="s">
        <v>3</v>
      </c>
      <c r="B7" s="256"/>
      <c r="C7" s="888" t="s">
        <v>510</v>
      </c>
      <c r="D7" s="888"/>
      <c r="E7" s="888"/>
      <c r="F7" s="888"/>
      <c r="G7" s="888"/>
      <c r="H7" s="888"/>
      <c r="I7" s="888"/>
      <c r="J7" s="888"/>
      <c r="K7" s="888"/>
      <c r="L7" s="888"/>
      <c r="M7" s="888"/>
      <c r="N7" s="888"/>
    </row>
    <row r="8" spans="1:16">
      <c r="A8" s="256" t="s">
        <v>122</v>
      </c>
      <c r="B8" s="256"/>
      <c r="C8" s="429" t="s">
        <v>123</v>
      </c>
      <c r="D8" s="429"/>
      <c r="E8" s="429"/>
      <c r="F8" s="429"/>
      <c r="G8" s="429"/>
      <c r="H8" s="429"/>
      <c r="I8" s="429"/>
      <c r="J8" s="429"/>
      <c r="K8" s="429"/>
      <c r="L8" s="429"/>
      <c r="M8" s="429"/>
      <c r="N8" s="429"/>
    </row>
    <row r="9" spans="1:16" ht="18" customHeight="1">
      <c r="A9" s="256" t="s">
        <v>124</v>
      </c>
      <c r="B9" s="256"/>
      <c r="C9" s="1051" t="s">
        <v>621</v>
      </c>
      <c r="D9" s="1052"/>
      <c r="E9" s="1052"/>
      <c r="F9" s="1052"/>
      <c r="G9" s="1052"/>
      <c r="H9" s="1052"/>
      <c r="I9" s="1052"/>
      <c r="J9" s="1052"/>
      <c r="K9" s="1052"/>
      <c r="L9" s="1052"/>
      <c r="M9" s="1052"/>
      <c r="N9" s="1052"/>
    </row>
    <row r="10" spans="1:16">
      <c r="A10" s="256" t="s">
        <v>5</v>
      </c>
      <c r="B10" s="256"/>
      <c r="C10" s="258" t="s">
        <v>15</v>
      </c>
      <c r="D10" s="258"/>
      <c r="E10" s="258"/>
      <c r="F10" s="258"/>
      <c r="G10" s="258"/>
      <c r="H10" s="258"/>
      <c r="I10" s="258"/>
      <c r="J10" s="258"/>
      <c r="K10" s="258"/>
      <c r="L10" s="258"/>
      <c r="M10" s="258"/>
      <c r="N10" s="258"/>
    </row>
    <row r="11" spans="1:16">
      <c r="A11" s="256" t="s">
        <v>6</v>
      </c>
      <c r="B11" s="256"/>
      <c r="C11" s="258" t="s">
        <v>396</v>
      </c>
      <c r="D11" s="258"/>
      <c r="E11" s="258"/>
      <c r="F11" s="258"/>
      <c r="G11" s="258"/>
      <c r="H11" s="258"/>
      <c r="I11" s="258"/>
      <c r="J11" s="258"/>
      <c r="K11" s="258"/>
      <c r="L11" s="258"/>
      <c r="M11" s="258"/>
      <c r="N11" s="258"/>
    </row>
    <row r="12" spans="1:16" ht="17.25" customHeight="1">
      <c r="A12" s="256" t="s">
        <v>7</v>
      </c>
      <c r="B12" s="256"/>
      <c r="C12" s="888" t="s">
        <v>91</v>
      </c>
      <c r="D12" s="888"/>
      <c r="E12" s="888"/>
      <c r="F12" s="888"/>
      <c r="G12" s="888"/>
      <c r="H12" s="888"/>
      <c r="I12" s="888"/>
      <c r="J12" s="888"/>
      <c r="K12" s="888"/>
      <c r="L12" s="888"/>
      <c r="M12" s="888"/>
      <c r="N12" s="888"/>
    </row>
    <row r="13" spans="1:16" ht="20.25" customHeight="1">
      <c r="A13" s="891" t="s">
        <v>125</v>
      </c>
      <c r="B13" s="891"/>
      <c r="C13" s="1053" t="s">
        <v>369</v>
      </c>
      <c r="D13" s="1053"/>
      <c r="E13" s="1053"/>
      <c r="F13" s="1053"/>
      <c r="G13" s="1053"/>
      <c r="H13" s="1053"/>
      <c r="I13" s="1053"/>
      <c r="J13" s="1053"/>
      <c r="K13" s="1053"/>
      <c r="L13" s="1053"/>
      <c r="M13" s="1053"/>
      <c r="N13" s="1053"/>
    </row>
    <row r="14" spans="1:16" ht="31.5" customHeight="1">
      <c r="A14" s="256" t="s">
        <v>127</v>
      </c>
      <c r="B14" s="256"/>
      <c r="C14" s="1059" t="s">
        <v>415</v>
      </c>
      <c r="D14" s="1059"/>
      <c r="E14" s="1059"/>
      <c r="F14" s="1059"/>
      <c r="G14" s="1059"/>
      <c r="H14" s="1059"/>
      <c r="I14" s="1059"/>
      <c r="J14" s="1059"/>
      <c r="K14" s="1059"/>
      <c r="L14" s="1059"/>
      <c r="M14" s="1059"/>
      <c r="N14" s="1059"/>
    </row>
    <row r="15" spans="1:16" ht="17.25" customHeight="1">
      <c r="A15" s="256" t="s">
        <v>10</v>
      </c>
      <c r="B15" s="256"/>
      <c r="C15" s="1060" t="s">
        <v>357</v>
      </c>
      <c r="D15" s="1060"/>
      <c r="E15" s="1060"/>
      <c r="F15" s="1060"/>
      <c r="G15" s="1060"/>
      <c r="H15" s="1060"/>
      <c r="I15" s="1060"/>
      <c r="J15" s="1060"/>
      <c r="K15" s="1060"/>
      <c r="L15" s="1060"/>
      <c r="M15" s="1060"/>
      <c r="N15" s="1060"/>
    </row>
    <row r="16" spans="1:16" ht="20.25" customHeight="1">
      <c r="A16" s="886" t="s">
        <v>443</v>
      </c>
      <c r="B16" s="886"/>
      <c r="C16" s="708"/>
      <c r="D16" s="709"/>
      <c r="E16" s="709"/>
      <c r="F16" s="709"/>
      <c r="G16" s="709"/>
      <c r="H16" s="709"/>
      <c r="I16" s="709"/>
      <c r="J16" s="709"/>
      <c r="K16" s="709"/>
      <c r="L16" s="709"/>
      <c r="M16" s="709"/>
      <c r="N16" s="709"/>
    </row>
    <row r="17" spans="1:18" ht="15" customHeight="1">
      <c r="A17" s="283"/>
      <c r="B17" s="283"/>
      <c r="C17" s="284"/>
      <c r="D17" s="284"/>
      <c r="E17" s="284"/>
      <c r="F17" s="284"/>
      <c r="G17" s="284"/>
      <c r="H17" s="284"/>
      <c r="I17" s="284"/>
      <c r="J17" s="256"/>
      <c r="K17" s="256"/>
      <c r="L17" s="256"/>
      <c r="M17" s="256"/>
      <c r="N17" s="256"/>
    </row>
    <row r="18" spans="1:18" ht="14.45" customHeight="1">
      <c r="A18" s="1061" t="s">
        <v>129</v>
      </c>
      <c r="B18" s="1062"/>
      <c r="C18" s="210" t="s">
        <v>130</v>
      </c>
      <c r="D18" s="210" t="s">
        <v>131</v>
      </c>
      <c r="E18" s="210" t="s">
        <v>132</v>
      </c>
      <c r="F18" s="210" t="s">
        <v>133</v>
      </c>
      <c r="G18" s="210" t="s">
        <v>134</v>
      </c>
      <c r="H18" s="210" t="s">
        <v>135</v>
      </c>
      <c r="I18" s="210" t="s">
        <v>136</v>
      </c>
      <c r="J18" s="210" t="s">
        <v>137</v>
      </c>
      <c r="K18" s="210" t="s">
        <v>138</v>
      </c>
      <c r="L18" s="210" t="s">
        <v>139</v>
      </c>
      <c r="M18" s="210" t="s">
        <v>140</v>
      </c>
      <c r="N18" s="210" t="s">
        <v>141</v>
      </c>
    </row>
    <row r="19" spans="1:18">
      <c r="A19" s="1063"/>
      <c r="B19" s="1064"/>
      <c r="C19" s="11">
        <v>1</v>
      </c>
      <c r="D19" s="11">
        <v>2</v>
      </c>
      <c r="E19" s="11">
        <v>3</v>
      </c>
      <c r="F19" s="11">
        <v>4</v>
      </c>
      <c r="G19" s="11">
        <v>5</v>
      </c>
      <c r="H19" s="11">
        <v>6</v>
      </c>
      <c r="I19" s="11">
        <v>7</v>
      </c>
      <c r="J19" s="11">
        <v>8</v>
      </c>
      <c r="K19" s="11">
        <v>9</v>
      </c>
      <c r="L19" s="11">
        <v>10</v>
      </c>
      <c r="M19" s="11">
        <v>11</v>
      </c>
      <c r="N19" s="11">
        <v>12</v>
      </c>
    </row>
    <row r="20" spans="1:18" ht="35.25" customHeight="1">
      <c r="A20" s="1065" t="s">
        <v>488</v>
      </c>
      <c r="B20" s="1066"/>
      <c r="C20" s="305">
        <f>100%-C44</f>
        <v>1</v>
      </c>
      <c r="D20" s="305">
        <f t="shared" ref="D20:I20" si="0">100%-D44</f>
        <v>1</v>
      </c>
      <c r="E20" s="305">
        <f t="shared" si="0"/>
        <v>1</v>
      </c>
      <c r="F20" s="305">
        <f t="shared" si="0"/>
        <v>1</v>
      </c>
      <c r="G20" s="305">
        <f t="shared" si="0"/>
        <v>1</v>
      </c>
      <c r="H20" s="305">
        <f t="shared" si="0"/>
        <v>1</v>
      </c>
      <c r="I20" s="305">
        <f t="shared" si="0"/>
        <v>1</v>
      </c>
      <c r="J20" s="618"/>
      <c r="K20" s="305"/>
      <c r="L20" s="305"/>
      <c r="M20" s="305"/>
      <c r="N20" s="305"/>
    </row>
    <row r="21" spans="1:18" ht="42" customHeight="1">
      <c r="A21" s="1054" t="s">
        <v>485</v>
      </c>
      <c r="B21" s="1055"/>
      <c r="C21" s="202">
        <v>1</v>
      </c>
      <c r="D21" s="202">
        <v>1</v>
      </c>
      <c r="E21" s="202">
        <v>1</v>
      </c>
      <c r="F21" s="202">
        <v>1</v>
      </c>
      <c r="G21" s="202">
        <v>1</v>
      </c>
      <c r="H21" s="202">
        <v>1</v>
      </c>
      <c r="I21" s="202">
        <v>1</v>
      </c>
      <c r="J21" s="202"/>
      <c r="K21" s="202"/>
      <c r="L21" s="202"/>
      <c r="M21" s="202"/>
      <c r="N21" s="202"/>
    </row>
    <row r="22" spans="1:18" s="19" customFormat="1" ht="228" customHeight="1">
      <c r="A22" s="1056" t="s">
        <v>144</v>
      </c>
      <c r="B22" s="1057"/>
      <c r="C22" s="1057"/>
      <c r="D22" s="1057"/>
      <c r="E22" s="1057"/>
      <c r="F22" s="1057"/>
      <c r="G22" s="1057"/>
      <c r="H22" s="1057"/>
      <c r="I22" s="1057"/>
      <c r="J22" s="1057"/>
      <c r="K22" s="1057"/>
      <c r="L22" s="1057"/>
      <c r="M22" s="1057"/>
      <c r="N22" s="1058"/>
      <c r="Q22" s="4"/>
      <c r="R22" s="4"/>
    </row>
    <row r="23" spans="1:18" ht="7.5" customHeight="1"/>
    <row r="24" spans="1:18" ht="25.5" customHeight="1">
      <c r="A24" s="558" t="s">
        <v>667</v>
      </c>
      <c r="B24" s="908" t="s">
        <v>145</v>
      </c>
      <c r="C24" s="908"/>
      <c r="D24" s="908"/>
      <c r="E24" s="908"/>
      <c r="F24" s="909"/>
      <c r="G24" s="911" t="s">
        <v>146</v>
      </c>
      <c r="H24" s="908"/>
      <c r="I24" s="908"/>
      <c r="J24" s="908"/>
      <c r="K24" s="908"/>
      <c r="L24" s="908"/>
      <c r="M24" s="908"/>
      <c r="N24" s="909"/>
    </row>
    <row r="25" spans="1:18" ht="25.5" customHeight="1">
      <c r="A25" s="358" t="str">
        <f>+IF(C19&gt;0,C18,"")</f>
        <v>ene</v>
      </c>
      <c r="B25" s="900" t="s">
        <v>666</v>
      </c>
      <c r="C25" s="900"/>
      <c r="D25" s="900"/>
      <c r="E25" s="900"/>
      <c r="F25" s="901"/>
      <c r="G25" s="902" t="s">
        <v>663</v>
      </c>
      <c r="H25" s="903"/>
      <c r="I25" s="903"/>
      <c r="J25" s="903"/>
      <c r="K25" s="903"/>
      <c r="L25" s="903"/>
      <c r="M25" s="903"/>
      <c r="N25" s="904"/>
    </row>
    <row r="26" spans="1:18" s="19" customFormat="1" ht="28.5" customHeight="1">
      <c r="A26" s="359" t="str">
        <f>+IF(D19&gt;0,D18,"")</f>
        <v>feb</v>
      </c>
      <c r="B26" s="917" t="s">
        <v>666</v>
      </c>
      <c r="C26" s="915"/>
      <c r="D26" s="915"/>
      <c r="E26" s="915"/>
      <c r="F26" s="916"/>
      <c r="G26" s="917" t="s">
        <v>663</v>
      </c>
      <c r="H26" s="915"/>
      <c r="I26" s="915"/>
      <c r="J26" s="915"/>
      <c r="K26" s="915"/>
      <c r="L26" s="915"/>
      <c r="M26" s="915"/>
      <c r="N26" s="916"/>
    </row>
    <row r="27" spans="1:18" s="19" customFormat="1" ht="33.75" customHeight="1">
      <c r="A27" s="359" t="str">
        <f>+IF(E19&gt;0,E18,"")</f>
        <v>mar</v>
      </c>
      <c r="B27" s="917" t="s">
        <v>666</v>
      </c>
      <c r="C27" s="915"/>
      <c r="D27" s="915"/>
      <c r="E27" s="915"/>
      <c r="F27" s="916"/>
      <c r="G27" s="917" t="s">
        <v>663</v>
      </c>
      <c r="H27" s="915"/>
      <c r="I27" s="915"/>
      <c r="J27" s="915"/>
      <c r="K27" s="915"/>
      <c r="L27" s="915"/>
      <c r="M27" s="915"/>
      <c r="N27" s="916"/>
    </row>
    <row r="28" spans="1:18" s="19" customFormat="1" ht="31.5" customHeight="1">
      <c r="A28" s="359" t="str">
        <f>+IF(F19&gt;0,F18,"")</f>
        <v>abr</v>
      </c>
      <c r="B28" s="914" t="s">
        <v>666</v>
      </c>
      <c r="C28" s="915"/>
      <c r="D28" s="915"/>
      <c r="E28" s="915"/>
      <c r="F28" s="916"/>
      <c r="G28" s="917" t="s">
        <v>663</v>
      </c>
      <c r="H28" s="915"/>
      <c r="I28" s="915"/>
      <c r="J28" s="915"/>
      <c r="K28" s="915"/>
      <c r="L28" s="915"/>
      <c r="M28" s="915"/>
      <c r="N28" s="916"/>
    </row>
    <row r="29" spans="1:18" s="19" customFormat="1" ht="33.75" customHeight="1">
      <c r="A29" s="359" t="str">
        <f>+IF(G19&gt;0,G18,"")</f>
        <v>may</v>
      </c>
      <c r="B29" s="914" t="s">
        <v>666</v>
      </c>
      <c r="C29" s="915"/>
      <c r="D29" s="915"/>
      <c r="E29" s="915"/>
      <c r="F29" s="916"/>
      <c r="G29" s="917" t="s">
        <v>663</v>
      </c>
      <c r="H29" s="915"/>
      <c r="I29" s="915"/>
      <c r="J29" s="915"/>
      <c r="K29" s="915"/>
      <c r="L29" s="915"/>
      <c r="M29" s="915"/>
      <c r="N29" s="916"/>
    </row>
    <row r="30" spans="1:18" s="19" customFormat="1" ht="28.5" customHeight="1">
      <c r="A30" s="359" t="str">
        <f>+IF(H19&gt;0,H18,"")</f>
        <v>jun</v>
      </c>
      <c r="B30" s="914" t="s">
        <v>666</v>
      </c>
      <c r="C30" s="915"/>
      <c r="D30" s="915"/>
      <c r="E30" s="915"/>
      <c r="F30" s="916"/>
      <c r="G30" s="917" t="s">
        <v>663</v>
      </c>
      <c r="H30" s="915"/>
      <c r="I30" s="915"/>
      <c r="J30" s="915"/>
      <c r="K30" s="915"/>
      <c r="L30" s="915"/>
      <c r="M30" s="915"/>
      <c r="N30" s="916"/>
    </row>
    <row r="31" spans="1:18" s="19" customFormat="1" ht="34.5" customHeight="1">
      <c r="A31" s="359" t="str">
        <f>+IF(I19&gt;0,I18,"")</f>
        <v>jul</v>
      </c>
      <c r="B31" s="914" t="s">
        <v>666</v>
      </c>
      <c r="C31" s="915"/>
      <c r="D31" s="915"/>
      <c r="E31" s="915"/>
      <c r="F31" s="916"/>
      <c r="G31" s="917" t="s">
        <v>663</v>
      </c>
      <c r="H31" s="915"/>
      <c r="I31" s="915"/>
      <c r="J31" s="915"/>
      <c r="K31" s="915"/>
      <c r="L31" s="915"/>
      <c r="M31" s="915"/>
      <c r="N31" s="916"/>
    </row>
    <row r="32" spans="1:18" s="19" customFormat="1" ht="33.75" customHeight="1">
      <c r="A32" s="359" t="str">
        <f>+IF(J19&gt;0,J18,"")</f>
        <v>ago</v>
      </c>
      <c r="B32" s="914" t="s">
        <v>666</v>
      </c>
      <c r="C32" s="915"/>
      <c r="D32" s="915"/>
      <c r="E32" s="915"/>
      <c r="F32" s="916"/>
      <c r="G32" s="917" t="s">
        <v>663</v>
      </c>
      <c r="H32" s="915"/>
      <c r="I32" s="915"/>
      <c r="J32" s="915"/>
      <c r="K32" s="915"/>
      <c r="L32" s="915"/>
      <c r="M32" s="915"/>
      <c r="N32" s="916"/>
    </row>
    <row r="33" spans="1:17" s="19" customFormat="1" ht="28.5" customHeight="1">
      <c r="A33" s="359" t="str">
        <f>+IF(K19&gt;0,K18,"")</f>
        <v>sep</v>
      </c>
      <c r="B33" s="914" t="s">
        <v>666</v>
      </c>
      <c r="C33" s="915"/>
      <c r="D33" s="915"/>
      <c r="E33" s="915"/>
      <c r="F33" s="916"/>
      <c r="G33" s="917" t="s">
        <v>663</v>
      </c>
      <c r="H33" s="915"/>
      <c r="I33" s="915"/>
      <c r="J33" s="915"/>
      <c r="K33" s="915"/>
      <c r="L33" s="915"/>
      <c r="M33" s="915"/>
      <c r="N33" s="916"/>
    </row>
    <row r="34" spans="1:17" s="19" customFormat="1" ht="28.5" customHeight="1">
      <c r="A34" s="359" t="str">
        <f>+IF(L19&gt;0,L18,"")</f>
        <v>oct</v>
      </c>
      <c r="B34" s="914"/>
      <c r="C34" s="915"/>
      <c r="D34" s="915"/>
      <c r="E34" s="915"/>
      <c r="F34" s="916"/>
      <c r="G34" s="917"/>
      <c r="H34" s="915"/>
      <c r="I34" s="915"/>
      <c r="J34" s="915"/>
      <c r="K34" s="915"/>
      <c r="L34" s="915"/>
      <c r="M34" s="915"/>
      <c r="N34" s="916"/>
    </row>
    <row r="35" spans="1:17" s="19" customFormat="1" ht="31.5" customHeight="1">
      <c r="A35" s="359" t="str">
        <f>+IF(M19&gt;0,M18,"")</f>
        <v>nov</v>
      </c>
      <c r="B35" s="914"/>
      <c r="C35" s="915"/>
      <c r="D35" s="915"/>
      <c r="E35" s="915"/>
      <c r="F35" s="916"/>
      <c r="G35" s="917"/>
      <c r="H35" s="915"/>
      <c r="I35" s="915"/>
      <c r="J35" s="915"/>
      <c r="K35" s="915"/>
      <c r="L35" s="915"/>
      <c r="M35" s="915"/>
      <c r="N35" s="916"/>
    </row>
    <row r="36" spans="1:17" s="19" customFormat="1" ht="28.5" customHeight="1">
      <c r="A36" s="360" t="str">
        <f>+IF(N19&gt;0,N18,"")</f>
        <v>dic</v>
      </c>
      <c r="B36" s="914"/>
      <c r="C36" s="915"/>
      <c r="D36" s="915"/>
      <c r="E36" s="915"/>
      <c r="F36" s="916"/>
      <c r="G36" s="917"/>
      <c r="H36" s="915"/>
      <c r="I36" s="915"/>
      <c r="J36" s="915"/>
      <c r="K36" s="915"/>
      <c r="L36" s="915"/>
      <c r="M36" s="915"/>
      <c r="N36" s="916"/>
    </row>
    <row r="37" spans="1:17" s="19" customFormat="1" ht="28.5" customHeight="1">
      <c r="A37" s="39" t="str">
        <f>+IF(N19&gt;0,N18,"")</f>
        <v>dic</v>
      </c>
      <c r="B37" s="1026"/>
      <c r="C37" s="743"/>
      <c r="D37" s="743"/>
      <c r="E37" s="743"/>
      <c r="F37" s="744"/>
      <c r="G37" s="1067"/>
      <c r="H37" s="1068"/>
      <c r="I37" s="1068"/>
      <c r="J37" s="1068"/>
      <c r="K37" s="1068"/>
      <c r="L37" s="1068"/>
      <c r="M37" s="1068"/>
      <c r="N37" s="1069"/>
    </row>
    <row r="38" spans="1:17">
      <c r="B38" s="446" t="s">
        <v>362</v>
      </c>
      <c r="C38" s="447" t="s">
        <v>491</v>
      </c>
      <c r="D38" s="447" t="s">
        <v>492</v>
      </c>
      <c r="E38" s="447" t="s">
        <v>493</v>
      </c>
      <c r="F38" s="447" t="s">
        <v>494</v>
      </c>
      <c r="G38" s="447" t="s">
        <v>495</v>
      </c>
      <c r="H38" s="447" t="s">
        <v>496</v>
      </c>
      <c r="I38" s="447" t="s">
        <v>497</v>
      </c>
      <c r="J38" s="447" t="s">
        <v>507</v>
      </c>
      <c r="K38" s="447" t="s">
        <v>138</v>
      </c>
      <c r="L38" s="447" t="s">
        <v>139</v>
      </c>
      <c r="M38" s="447" t="s">
        <v>140</v>
      </c>
      <c r="N38" s="447" t="s">
        <v>141</v>
      </c>
      <c r="O38" s="211"/>
      <c r="P38" s="133" t="s">
        <v>641</v>
      </c>
      <c r="Q38" s="133" t="s">
        <v>642</v>
      </c>
    </row>
    <row r="39" spans="1:17" hidden="1">
      <c r="B39" s="204" t="s">
        <v>489</v>
      </c>
      <c r="C39" s="301">
        <v>0</v>
      </c>
      <c r="D39" s="301">
        <v>0</v>
      </c>
      <c r="E39" s="301">
        <v>0</v>
      </c>
      <c r="F39" s="301">
        <f t="shared" ref="F39:N39" si="1">IFERROR((1/F41)*240000,"")</f>
        <v>44.642857142857139</v>
      </c>
      <c r="G39" s="301">
        <f t="shared" si="1"/>
        <v>44.642857142857139</v>
      </c>
      <c r="H39" s="301">
        <f t="shared" si="1"/>
        <v>44.642857142857139</v>
      </c>
      <c r="I39" s="301">
        <f t="shared" si="1"/>
        <v>44.642857142857139</v>
      </c>
      <c r="J39" s="301" t="str">
        <f t="shared" si="1"/>
        <v/>
      </c>
      <c r="K39" s="301" t="str">
        <f t="shared" si="1"/>
        <v/>
      </c>
      <c r="L39" s="301" t="str">
        <f t="shared" si="1"/>
        <v/>
      </c>
      <c r="M39" s="301" t="str">
        <f t="shared" si="1"/>
        <v/>
      </c>
      <c r="N39" s="301" t="str">
        <f t="shared" si="1"/>
        <v/>
      </c>
      <c r="P39" s="235"/>
      <c r="Q39" s="235"/>
    </row>
    <row r="40" spans="1:17" ht="22.5">
      <c r="B40" s="449" t="s">
        <v>397</v>
      </c>
      <c r="C40" s="448">
        <v>0</v>
      </c>
      <c r="D40" s="448">
        <v>0</v>
      </c>
      <c r="E40" s="448">
        <v>0</v>
      </c>
      <c r="F40" s="448">
        <v>0</v>
      </c>
      <c r="G40" s="448">
        <v>0</v>
      </c>
      <c r="H40" s="448">
        <v>0</v>
      </c>
      <c r="I40" s="448">
        <v>0</v>
      </c>
      <c r="J40" s="448"/>
      <c r="K40" s="448"/>
      <c r="L40" s="448"/>
      <c r="M40" s="448"/>
      <c r="N40" s="448"/>
      <c r="P40" s="235">
        <f>SUM(C40:N40)</f>
        <v>0</v>
      </c>
      <c r="Q40" s="235" t="str">
        <f>IF(P40=1,"96%",IF(P40=2,"92%",IF(P40=3,"88%",IF(P40=4,"84%",IF(P40=5,"80%","ERROR")))))</f>
        <v>ERROR</v>
      </c>
    </row>
    <row r="41" spans="1:17">
      <c r="B41" s="212" t="s">
        <v>416</v>
      </c>
      <c r="C41" s="302">
        <v>5376</v>
      </c>
      <c r="D41" s="302">
        <f t="shared" ref="D41:E41" si="2">IFERROR(D42*8*6*4,"")</f>
        <v>5184</v>
      </c>
      <c r="E41" s="302">
        <f t="shared" si="2"/>
        <v>5376</v>
      </c>
      <c r="F41" s="302">
        <f>IFERROR(F42*8*6*4,"")</f>
        <v>5376</v>
      </c>
      <c r="G41" s="302">
        <f t="shared" ref="G41" si="3">IFERROR(G42*8*6*4,"")</f>
        <v>5376</v>
      </c>
      <c r="H41" s="302">
        <f>IFERROR(H42*8*6*4,"")</f>
        <v>5376</v>
      </c>
      <c r="I41" s="302">
        <f t="shared" ref="I41:N41" si="4">IFERROR(I42*8*6*4,"")</f>
        <v>5376</v>
      </c>
      <c r="J41" s="302">
        <f t="shared" si="4"/>
        <v>0</v>
      </c>
      <c r="K41" s="302">
        <f t="shared" si="4"/>
        <v>0</v>
      </c>
      <c r="L41" s="302">
        <f t="shared" si="4"/>
        <v>0</v>
      </c>
      <c r="M41" s="302">
        <f t="shared" si="4"/>
        <v>0</v>
      </c>
      <c r="N41" s="302">
        <f t="shared" si="4"/>
        <v>0</v>
      </c>
    </row>
    <row r="42" spans="1:17">
      <c r="B42" s="449" t="s">
        <v>678</v>
      </c>
      <c r="C42" s="448">
        <v>27</v>
      </c>
      <c r="D42" s="448">
        <v>27</v>
      </c>
      <c r="E42" s="448">
        <v>28</v>
      </c>
      <c r="F42" s="448">
        <v>28</v>
      </c>
      <c r="G42" s="448">
        <v>28</v>
      </c>
      <c r="H42" s="448">
        <v>28</v>
      </c>
      <c r="I42" s="448">
        <v>28</v>
      </c>
      <c r="J42" s="448"/>
      <c r="K42" s="448"/>
      <c r="L42" s="448"/>
      <c r="M42" s="448"/>
      <c r="N42" s="448"/>
    </row>
    <row r="43" spans="1:17">
      <c r="B43" s="212" t="s">
        <v>366</v>
      </c>
      <c r="C43" s="579">
        <f>IFERROR((((C40/C42)*100%))-100%,"")</f>
        <v>-1</v>
      </c>
      <c r="D43" s="579">
        <f t="shared" ref="D43:N43" si="5">IFERROR((((D40/D42)*100%))-100%,"")</f>
        <v>-1</v>
      </c>
      <c r="E43" s="579">
        <f t="shared" si="5"/>
        <v>-1</v>
      </c>
      <c r="F43" s="579">
        <f t="shared" si="5"/>
        <v>-1</v>
      </c>
      <c r="G43" s="579">
        <f>IFERROR((((G40/G42)*100%))-100%,"")</f>
        <v>-1</v>
      </c>
      <c r="H43" s="579">
        <f t="shared" si="5"/>
        <v>-1</v>
      </c>
      <c r="I43" s="579">
        <f t="shared" si="5"/>
        <v>-1</v>
      </c>
      <c r="J43" s="303" t="str">
        <f t="shared" si="5"/>
        <v/>
      </c>
      <c r="K43" s="303" t="str">
        <f t="shared" si="5"/>
        <v/>
      </c>
      <c r="L43" s="303" t="str">
        <f t="shared" si="5"/>
        <v/>
      </c>
      <c r="M43" s="303" t="str">
        <f t="shared" si="5"/>
        <v/>
      </c>
      <c r="N43" s="303" t="str">
        <f t="shared" si="5"/>
        <v/>
      </c>
    </row>
    <row r="44" spans="1:17">
      <c r="B44" s="213" t="s">
        <v>121</v>
      </c>
      <c r="C44" s="304">
        <f>C43+100%</f>
        <v>0</v>
      </c>
      <c r="D44" s="304">
        <f t="shared" ref="D44:N44" si="6">D43+100%</f>
        <v>0</v>
      </c>
      <c r="E44" s="304">
        <f t="shared" si="6"/>
        <v>0</v>
      </c>
      <c r="F44" s="304">
        <f t="shared" si="6"/>
        <v>0</v>
      </c>
      <c r="G44" s="619">
        <f>G43+100%</f>
        <v>0</v>
      </c>
      <c r="H44" s="304">
        <f t="shared" si="6"/>
        <v>0</v>
      </c>
      <c r="I44" s="304">
        <f t="shared" si="6"/>
        <v>0</v>
      </c>
      <c r="J44" s="304" t="e">
        <f t="shared" si="6"/>
        <v>#VALUE!</v>
      </c>
      <c r="K44" s="304" t="e">
        <f t="shared" si="6"/>
        <v>#VALUE!</v>
      </c>
      <c r="L44" s="304" t="e">
        <f t="shared" si="6"/>
        <v>#VALUE!</v>
      </c>
      <c r="M44" s="304" t="e">
        <f t="shared" si="6"/>
        <v>#VALUE!</v>
      </c>
      <c r="N44" s="304" t="e">
        <f t="shared" si="6"/>
        <v>#VALUE!</v>
      </c>
      <c r="O44" s="214"/>
    </row>
    <row r="45" spans="1:17" hidden="1">
      <c r="B45" s="213" t="s">
        <v>400</v>
      </c>
      <c r="C45" s="215">
        <f t="shared" ref="C45:N45" si="7">IFERROR(C40/C42,"")</f>
        <v>0</v>
      </c>
      <c r="D45" s="215">
        <f t="shared" si="7"/>
        <v>0</v>
      </c>
      <c r="E45" s="215">
        <f t="shared" si="7"/>
        <v>0</v>
      </c>
      <c r="F45" s="215">
        <f t="shared" si="7"/>
        <v>0</v>
      </c>
      <c r="G45" s="215">
        <f t="shared" si="7"/>
        <v>0</v>
      </c>
      <c r="H45" s="215">
        <f t="shared" si="7"/>
        <v>0</v>
      </c>
      <c r="I45" s="215">
        <f t="shared" si="7"/>
        <v>0</v>
      </c>
      <c r="J45" s="215" t="str">
        <f t="shared" si="7"/>
        <v/>
      </c>
      <c r="K45" s="215" t="str">
        <f t="shared" si="7"/>
        <v/>
      </c>
      <c r="L45" s="215" t="str">
        <f t="shared" si="7"/>
        <v/>
      </c>
      <c r="M45" s="215" t="str">
        <f t="shared" si="7"/>
        <v/>
      </c>
      <c r="N45" s="215" t="str">
        <f t="shared" si="7"/>
        <v/>
      </c>
    </row>
    <row r="46" spans="1:17" hidden="1">
      <c r="B46" s="216" t="s">
        <v>401</v>
      </c>
      <c r="C46" s="217">
        <f>IFERROR(1/C42,"")</f>
        <v>3.7037037037037035E-2</v>
      </c>
      <c r="D46" s="217">
        <f t="shared" ref="D46:N46" si="8">IFERROR(1/D42,"")</f>
        <v>3.7037037037037035E-2</v>
      </c>
      <c r="E46" s="217">
        <f t="shared" si="8"/>
        <v>3.5714285714285712E-2</v>
      </c>
      <c r="F46" s="217">
        <f t="shared" si="8"/>
        <v>3.5714285714285712E-2</v>
      </c>
      <c r="G46" s="217">
        <f t="shared" si="8"/>
        <v>3.5714285714285712E-2</v>
      </c>
      <c r="H46" s="217">
        <f t="shared" si="8"/>
        <v>3.5714285714285712E-2</v>
      </c>
      <c r="I46" s="217">
        <f t="shared" si="8"/>
        <v>3.5714285714285712E-2</v>
      </c>
      <c r="J46" s="217" t="str">
        <f t="shared" si="8"/>
        <v/>
      </c>
      <c r="K46" s="217" t="str">
        <f t="shared" si="8"/>
        <v/>
      </c>
      <c r="L46" s="217" t="str">
        <f t="shared" si="8"/>
        <v/>
      </c>
      <c r="M46" s="217" t="str">
        <f t="shared" si="8"/>
        <v/>
      </c>
      <c r="N46" s="217" t="str">
        <f t="shared" si="8"/>
        <v/>
      </c>
    </row>
    <row r="47" spans="1:17">
      <c r="B47" s="205"/>
      <c r="C47" s="218"/>
      <c r="D47" s="218"/>
      <c r="E47" s="218"/>
      <c r="F47" s="218"/>
      <c r="G47" s="218"/>
      <c r="H47" s="218"/>
      <c r="I47" s="218"/>
      <c r="J47" s="218"/>
      <c r="K47" s="218"/>
      <c r="L47" s="218"/>
      <c r="M47" s="218"/>
      <c r="N47" s="218"/>
    </row>
    <row r="48" spans="1:17">
      <c r="B48" s="207"/>
      <c r="C48" s="219"/>
      <c r="D48" s="219"/>
      <c r="E48" s="219"/>
      <c r="F48" s="219"/>
      <c r="G48" s="219"/>
      <c r="H48" s="219"/>
      <c r="I48" s="219"/>
      <c r="J48" s="219"/>
      <c r="K48" s="219"/>
      <c r="L48" s="219"/>
      <c r="M48" s="219"/>
      <c r="N48" s="219"/>
    </row>
  </sheetData>
  <sheetProtection formatCells="0" formatColumns="0" formatRows="0"/>
  <mergeCells count="52">
    <mergeCell ref="B27:F27"/>
    <mergeCell ref="G27:N27"/>
    <mergeCell ref="B28:F28"/>
    <mergeCell ref="G28:N28"/>
    <mergeCell ref="B29:F29"/>
    <mergeCell ref="G29:N29"/>
    <mergeCell ref="B30:F30"/>
    <mergeCell ref="G30:N30"/>
    <mergeCell ref="B37:F37"/>
    <mergeCell ref="B36:F36"/>
    <mergeCell ref="G36:N36"/>
    <mergeCell ref="G37:N37"/>
    <mergeCell ref="B31:F31"/>
    <mergeCell ref="G31:N31"/>
    <mergeCell ref="B32:F32"/>
    <mergeCell ref="G32:N32"/>
    <mergeCell ref="B33:F33"/>
    <mergeCell ref="G33:N33"/>
    <mergeCell ref="B34:F34"/>
    <mergeCell ref="G34:N34"/>
    <mergeCell ref="B35:F35"/>
    <mergeCell ref="G35:N35"/>
    <mergeCell ref="C14:N14"/>
    <mergeCell ref="C15:N15"/>
    <mergeCell ref="A18:B18"/>
    <mergeCell ref="A19:B19"/>
    <mergeCell ref="A20:B20"/>
    <mergeCell ref="A16:B16"/>
    <mergeCell ref="C16:N16"/>
    <mergeCell ref="A21:B21"/>
    <mergeCell ref="A22:N22"/>
    <mergeCell ref="G24:N24"/>
    <mergeCell ref="B26:F26"/>
    <mergeCell ref="G26:N26"/>
    <mergeCell ref="B24:F24"/>
    <mergeCell ref="B25:F25"/>
    <mergeCell ref="G25:N25"/>
    <mergeCell ref="C6:N6"/>
    <mergeCell ref="C7:N7"/>
    <mergeCell ref="C9:N9"/>
    <mergeCell ref="C12:N12"/>
    <mergeCell ref="A13:B13"/>
    <mergeCell ref="C13:N13"/>
    <mergeCell ref="A1:J4"/>
    <mergeCell ref="K1:L1"/>
    <mergeCell ref="M1:N1"/>
    <mergeCell ref="K2:L2"/>
    <mergeCell ref="M2:N2"/>
    <mergeCell ref="K3:L3"/>
    <mergeCell ref="M3:N3"/>
    <mergeCell ref="K4:L4"/>
    <mergeCell ref="M4:N4"/>
  </mergeCells>
  <hyperlinks>
    <hyperlink ref="O5" location="'Matriz Sta Ana'!A1" display="Volver" xr:uid="{2D01B396-AED5-4874-862E-FFD85FFEE474}"/>
    <hyperlink ref="P5" location="'Matriz Sta Ana'!A1" display="Volver" xr:uid="{2F766A19-E8D6-4A7C-9522-23F4DA36A8A8}"/>
  </hyperlinks>
  <pageMargins left="0.7" right="0.7" top="0.75" bottom="0.75" header="0.3" footer="0.3"/>
  <pageSetup scale="62" fitToHeight="0" orientation="portrait" r:id="rId1"/>
  <rowBreaks count="1" manualBreakCount="1">
    <brk id="21" max="14" man="1"/>
  </rowBreaks>
  <drawing r:id="rId2"/>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238539-CFB3-4DA4-A057-4BE0CBDAFB98}">
  <sheetPr>
    <tabColor rgb="FFFFFFCC"/>
    <pageSetUpPr fitToPage="1"/>
  </sheetPr>
  <dimension ref="A1:XFA52"/>
  <sheetViews>
    <sheetView view="pageBreakPreview" topLeftCell="A26" zoomScale="90" zoomScaleNormal="100" zoomScaleSheetLayoutView="90" workbookViewId="0">
      <selection activeCell="G34" sqref="G34:N34"/>
    </sheetView>
  </sheetViews>
  <sheetFormatPr baseColWidth="10" defaultColWidth="0" defaultRowHeight="16.5"/>
  <cols>
    <col min="1" max="1" width="7.42578125" style="5" customWidth="1"/>
    <col min="2" max="2" width="33.5703125" style="5" customWidth="1"/>
    <col min="3" max="3" width="9.140625" style="4" customWidth="1"/>
    <col min="4" max="5" width="9.85546875" style="4" bestFit="1" customWidth="1"/>
    <col min="6" max="7" width="8.5703125" style="4" bestFit="1" customWidth="1"/>
    <col min="8" max="9" width="9.42578125" style="4" bestFit="1" customWidth="1"/>
    <col min="10" max="11" width="8.5703125" style="4" bestFit="1" customWidth="1"/>
    <col min="12" max="12" width="10.42578125" style="4" bestFit="1" customWidth="1"/>
    <col min="13" max="13" width="8.5703125" style="4" bestFit="1" customWidth="1"/>
    <col min="14" max="14" width="11.85546875" style="4" customWidth="1"/>
    <col min="15" max="15" width="15.140625" style="4" customWidth="1"/>
    <col min="16" max="19" width="0" style="4" hidden="1" customWidth="1"/>
    <col min="20" max="16379" width="11.42578125" style="4" hidden="1"/>
    <col min="16380" max="16380" width="12.85546875" style="4" customWidth="1"/>
    <col min="16381" max="16381" width="9.42578125" style="4" customWidth="1"/>
    <col min="16382" max="16382" width="17.42578125" style="4" customWidth="1"/>
    <col min="16383" max="16383" width="11.140625" style="4" customWidth="1"/>
    <col min="16384" max="16384" width="27" style="4" customWidth="1"/>
  </cols>
  <sheetData>
    <row r="1" spans="1:15 16380:16381" ht="21.75" customHeight="1">
      <c r="A1" s="719" t="s">
        <v>113</v>
      </c>
      <c r="B1" s="720"/>
      <c r="C1" s="720"/>
      <c r="D1" s="720"/>
      <c r="E1" s="720"/>
      <c r="F1" s="720"/>
      <c r="G1" s="720"/>
      <c r="H1" s="720"/>
      <c r="I1" s="720"/>
      <c r="J1" s="721"/>
      <c r="K1" s="728" t="s">
        <v>114</v>
      </c>
      <c r="L1" s="729"/>
      <c r="M1" s="728"/>
      <c r="N1" s="729"/>
    </row>
    <row r="2" spans="1:15 16380:16381" ht="21.75" customHeight="1">
      <c r="A2" s="722"/>
      <c r="B2" s="723"/>
      <c r="C2" s="723"/>
      <c r="D2" s="723"/>
      <c r="E2" s="723"/>
      <c r="F2" s="723"/>
      <c r="G2" s="723"/>
      <c r="H2" s="723"/>
      <c r="I2" s="723"/>
      <c r="J2" s="724"/>
      <c r="K2" s="728" t="s">
        <v>115</v>
      </c>
      <c r="L2" s="729"/>
      <c r="M2" s="728">
        <v>0</v>
      </c>
      <c r="N2" s="729"/>
    </row>
    <row r="3" spans="1:15 16380:16381" ht="21.75" customHeight="1">
      <c r="A3" s="722"/>
      <c r="B3" s="723"/>
      <c r="C3" s="723"/>
      <c r="D3" s="723"/>
      <c r="E3" s="723"/>
      <c r="F3" s="723"/>
      <c r="G3" s="723"/>
      <c r="H3" s="723"/>
      <c r="I3" s="723"/>
      <c r="J3" s="724"/>
      <c r="K3" s="728" t="s">
        <v>116</v>
      </c>
      <c r="L3" s="729"/>
      <c r="M3" s="732">
        <v>43464</v>
      </c>
      <c r="N3" s="733"/>
    </row>
    <row r="4" spans="1:15 16380:16381" ht="21.75" customHeight="1">
      <c r="A4" s="725"/>
      <c r="B4" s="726"/>
      <c r="C4" s="726"/>
      <c r="D4" s="726"/>
      <c r="E4" s="726"/>
      <c r="F4" s="726"/>
      <c r="G4" s="726"/>
      <c r="H4" s="726"/>
      <c r="I4" s="726"/>
      <c r="J4" s="727"/>
      <c r="K4" s="728" t="s">
        <v>117</v>
      </c>
      <c r="L4" s="729"/>
      <c r="M4" s="732" t="s">
        <v>118</v>
      </c>
      <c r="N4" s="733"/>
    </row>
    <row r="5" spans="1:15 16380:16381" ht="27.75" customHeight="1">
      <c r="A5" s="256"/>
      <c r="B5" s="256"/>
      <c r="C5" s="280"/>
      <c r="D5" s="280"/>
      <c r="E5" s="280"/>
      <c r="F5" s="280"/>
      <c r="G5" s="280"/>
      <c r="H5" s="280"/>
      <c r="I5" s="280"/>
      <c r="J5" s="280"/>
      <c r="K5" s="280"/>
      <c r="L5" s="280"/>
      <c r="M5" s="281"/>
      <c r="N5" s="282" t="s">
        <v>119</v>
      </c>
      <c r="O5" s="52" t="s">
        <v>120</v>
      </c>
    </row>
    <row r="6" spans="1:15 16380:16381" ht="21.75" customHeight="1">
      <c r="A6" s="256" t="s">
        <v>121</v>
      </c>
      <c r="B6" s="256"/>
      <c r="C6" s="887" t="s">
        <v>512</v>
      </c>
      <c r="D6" s="887"/>
      <c r="E6" s="887"/>
      <c r="F6" s="887"/>
      <c r="G6" s="887"/>
      <c r="H6" s="887"/>
      <c r="I6" s="887"/>
      <c r="J6" s="887"/>
      <c r="K6" s="887"/>
      <c r="L6" s="887"/>
      <c r="M6" s="887"/>
      <c r="N6" s="887"/>
    </row>
    <row r="7" spans="1:15 16380:16381" ht="21" customHeight="1">
      <c r="A7" s="256" t="s">
        <v>3</v>
      </c>
      <c r="B7" s="256"/>
      <c r="C7" s="888" t="s">
        <v>511</v>
      </c>
      <c r="D7" s="888"/>
      <c r="E7" s="888"/>
      <c r="F7" s="888"/>
      <c r="G7" s="888"/>
      <c r="H7" s="888"/>
      <c r="I7" s="888"/>
      <c r="J7" s="888"/>
      <c r="K7" s="888"/>
      <c r="L7" s="888"/>
      <c r="M7" s="888"/>
      <c r="N7" s="888"/>
    </row>
    <row r="8" spans="1:15 16380:16381">
      <c r="A8" s="256" t="s">
        <v>122</v>
      </c>
      <c r="B8" s="256"/>
      <c r="C8" s="429" t="s">
        <v>123</v>
      </c>
      <c r="D8" s="429"/>
      <c r="E8" s="429"/>
      <c r="F8" s="429"/>
      <c r="G8" s="429"/>
      <c r="H8" s="429"/>
      <c r="I8" s="429"/>
      <c r="J8" s="429"/>
      <c r="K8" s="429"/>
      <c r="L8" s="429"/>
      <c r="M8" s="429"/>
      <c r="N8" s="429"/>
    </row>
    <row r="9" spans="1:15 16380:16381" ht="21" customHeight="1">
      <c r="A9" s="256" t="s">
        <v>124</v>
      </c>
      <c r="B9" s="256"/>
      <c r="C9" s="1070" t="s">
        <v>622</v>
      </c>
      <c r="D9" s="1070"/>
      <c r="E9" s="1070"/>
      <c r="F9" s="1070"/>
      <c r="G9" s="1070"/>
      <c r="H9" s="1070"/>
      <c r="I9" s="1070"/>
      <c r="J9" s="1070"/>
      <c r="K9" s="1070"/>
      <c r="L9" s="1070"/>
      <c r="M9" s="1070"/>
      <c r="N9" s="1070"/>
    </row>
    <row r="10" spans="1:15 16380:16381">
      <c r="A10" s="256" t="s">
        <v>5</v>
      </c>
      <c r="B10" s="256"/>
      <c r="C10" s="258" t="s">
        <v>15</v>
      </c>
      <c r="D10" s="258"/>
      <c r="E10" s="258"/>
      <c r="F10" s="258"/>
      <c r="G10" s="258"/>
      <c r="H10" s="258"/>
      <c r="I10" s="258"/>
      <c r="J10" s="258"/>
      <c r="K10" s="258"/>
      <c r="L10" s="258"/>
      <c r="M10" s="258"/>
      <c r="N10" s="258"/>
    </row>
    <row r="11" spans="1:15 16380:16381">
      <c r="A11" s="256" t="s">
        <v>6</v>
      </c>
      <c r="B11" s="256"/>
      <c r="C11" s="258" t="s">
        <v>396</v>
      </c>
      <c r="D11" s="258"/>
      <c r="E11" s="258"/>
      <c r="F11" s="258"/>
      <c r="G11" s="258"/>
      <c r="H11" s="258"/>
      <c r="I11" s="258"/>
      <c r="J11" s="258"/>
      <c r="K11" s="258"/>
      <c r="L11" s="258"/>
      <c r="M11" s="258"/>
      <c r="N11" s="258"/>
      <c r="O11" s="300">
        <v>1</v>
      </c>
      <c r="XEZ11" s="242">
        <f>1/30</f>
        <v>3.3333333333333333E-2</v>
      </c>
      <c r="XFA11" s="244">
        <f>XEZ11</f>
        <v>3.3333333333333333E-2</v>
      </c>
    </row>
    <row r="12" spans="1:15 16380:16381" ht="20.25" customHeight="1">
      <c r="A12" s="256" t="s">
        <v>7</v>
      </c>
      <c r="B12" s="256"/>
      <c r="C12" s="888" t="s">
        <v>402</v>
      </c>
      <c r="D12" s="888"/>
      <c r="E12" s="888"/>
      <c r="F12" s="888"/>
      <c r="G12" s="888"/>
      <c r="H12" s="888"/>
      <c r="I12" s="888"/>
      <c r="J12" s="888"/>
      <c r="K12" s="888"/>
      <c r="L12" s="888"/>
      <c r="M12" s="888"/>
      <c r="N12" s="888"/>
      <c r="O12" s="300">
        <v>2</v>
      </c>
      <c r="XEZ12" s="242">
        <f t="shared" ref="XEZ12:XEZ40" si="0">1/30</f>
        <v>3.3333333333333333E-2</v>
      </c>
      <c r="XFA12" s="244">
        <f>+XEZ12+XFA11</f>
        <v>6.6666666666666666E-2</v>
      </c>
    </row>
    <row r="13" spans="1:15 16380:16381" ht="30" customHeight="1">
      <c r="A13" s="891" t="s">
        <v>125</v>
      </c>
      <c r="B13" s="891"/>
      <c r="C13" s="888" t="s">
        <v>369</v>
      </c>
      <c r="D13" s="888"/>
      <c r="E13" s="888"/>
      <c r="F13" s="888"/>
      <c r="G13" s="888"/>
      <c r="H13" s="888"/>
      <c r="I13" s="888"/>
      <c r="J13" s="888"/>
      <c r="K13" s="888"/>
      <c r="L13" s="888"/>
      <c r="M13" s="888"/>
      <c r="N13" s="888"/>
      <c r="O13" s="300">
        <v>3</v>
      </c>
      <c r="XEZ13" s="242">
        <f t="shared" si="0"/>
        <v>3.3333333333333333E-2</v>
      </c>
      <c r="XFA13" s="244">
        <f t="shared" ref="XFA13:XFA40" si="1">+XEZ13+XFA12</f>
        <v>0.1</v>
      </c>
    </row>
    <row r="14" spans="1:15 16380:16381" ht="20.25" customHeight="1">
      <c r="A14" s="256" t="s">
        <v>127</v>
      </c>
      <c r="B14" s="256"/>
      <c r="C14" s="888" t="s">
        <v>403</v>
      </c>
      <c r="D14" s="888"/>
      <c r="E14" s="888"/>
      <c r="F14" s="888"/>
      <c r="G14" s="888"/>
      <c r="H14" s="888"/>
      <c r="I14" s="888"/>
      <c r="J14" s="888"/>
      <c r="K14" s="888"/>
      <c r="L14" s="888"/>
      <c r="M14" s="888"/>
      <c r="N14" s="888"/>
      <c r="O14" s="300">
        <v>4</v>
      </c>
      <c r="XEZ14" s="242">
        <f t="shared" si="0"/>
        <v>3.3333333333333333E-2</v>
      </c>
      <c r="XFA14" s="244">
        <f t="shared" si="1"/>
        <v>0.13333333333333333</v>
      </c>
    </row>
    <row r="15" spans="1:15 16380:16381" ht="18" customHeight="1">
      <c r="A15" s="256" t="s">
        <v>10</v>
      </c>
      <c r="B15" s="256"/>
      <c r="C15" s="895" t="s">
        <v>357</v>
      </c>
      <c r="D15" s="895"/>
      <c r="E15" s="895"/>
      <c r="F15" s="895"/>
      <c r="G15" s="895"/>
      <c r="H15" s="895"/>
      <c r="I15" s="895"/>
      <c r="J15" s="895"/>
      <c r="K15" s="895"/>
      <c r="L15" s="895"/>
      <c r="M15" s="895"/>
      <c r="N15" s="895"/>
      <c r="O15" s="300">
        <v>5</v>
      </c>
      <c r="XEZ15" s="242">
        <f t="shared" si="0"/>
        <v>3.3333333333333333E-2</v>
      </c>
      <c r="XFA15" s="244">
        <f t="shared" si="1"/>
        <v>0.16666666666666666</v>
      </c>
    </row>
    <row r="16" spans="1:15 16380:16381" ht="20.25" customHeight="1">
      <c r="A16" s="886" t="s">
        <v>443</v>
      </c>
      <c r="B16" s="886"/>
      <c r="C16" s="708"/>
      <c r="D16" s="709"/>
      <c r="E16" s="709"/>
      <c r="F16" s="709"/>
      <c r="G16" s="709"/>
      <c r="H16" s="709"/>
      <c r="I16" s="709"/>
      <c r="J16" s="709"/>
      <c r="K16" s="709"/>
      <c r="L16" s="709"/>
      <c r="M16" s="709"/>
      <c r="N16" s="709"/>
      <c r="O16" s="300">
        <v>6</v>
      </c>
      <c r="XEZ16" s="242">
        <f t="shared" si="0"/>
        <v>3.3333333333333333E-2</v>
      </c>
      <c r="XFA16" s="244">
        <f t="shared" si="1"/>
        <v>0.19999999999999998</v>
      </c>
    </row>
    <row r="17" spans="1:18 16380:16381" ht="15" customHeight="1">
      <c r="A17" s="283"/>
      <c r="B17" s="283"/>
      <c r="C17" s="284"/>
      <c r="D17" s="284"/>
      <c r="E17" s="284"/>
      <c r="F17" s="284"/>
      <c r="G17" s="284"/>
      <c r="H17" s="284"/>
      <c r="I17" s="284"/>
      <c r="J17" s="256"/>
      <c r="K17" s="256"/>
      <c r="L17" s="256"/>
      <c r="M17" s="256"/>
      <c r="N17" s="256"/>
      <c r="O17" s="300">
        <v>7</v>
      </c>
      <c r="XEZ17" s="242">
        <f t="shared" si="0"/>
        <v>3.3333333333333333E-2</v>
      </c>
      <c r="XFA17" s="244">
        <f t="shared" si="1"/>
        <v>0.23333333333333331</v>
      </c>
    </row>
    <row r="18" spans="1:18 16380:16381" ht="14.45" customHeight="1">
      <c r="A18" s="1071" t="s">
        <v>129</v>
      </c>
      <c r="B18" s="1072"/>
      <c r="C18" s="403" t="s">
        <v>130</v>
      </c>
      <c r="D18" s="403" t="s">
        <v>131</v>
      </c>
      <c r="E18" s="403" t="s">
        <v>132</v>
      </c>
      <c r="F18" s="403" t="s">
        <v>133</v>
      </c>
      <c r="G18" s="403" t="s">
        <v>134</v>
      </c>
      <c r="H18" s="403" t="s">
        <v>135</v>
      </c>
      <c r="I18" s="403" t="s">
        <v>136</v>
      </c>
      <c r="J18" s="403" t="s">
        <v>137</v>
      </c>
      <c r="K18" s="403" t="s">
        <v>138</v>
      </c>
      <c r="L18" s="403" t="s">
        <v>139</v>
      </c>
      <c r="M18" s="403" t="s">
        <v>140</v>
      </c>
      <c r="N18" s="430" t="s">
        <v>141</v>
      </c>
      <c r="O18" s="300">
        <v>8</v>
      </c>
      <c r="XEZ18" s="242">
        <f t="shared" si="0"/>
        <v>3.3333333333333333E-2</v>
      </c>
      <c r="XFA18" s="244">
        <f t="shared" si="1"/>
        <v>0.26666666666666666</v>
      </c>
    </row>
    <row r="19" spans="1:18 16380:16381">
      <c r="A19" s="1047"/>
      <c r="B19" s="1048"/>
      <c r="C19" s="431">
        <v>1</v>
      </c>
      <c r="D19" s="431">
        <v>2</v>
      </c>
      <c r="E19" s="431">
        <v>3</v>
      </c>
      <c r="F19" s="431">
        <v>4</v>
      </c>
      <c r="G19" s="431">
        <v>5</v>
      </c>
      <c r="H19" s="431">
        <v>6</v>
      </c>
      <c r="I19" s="431">
        <v>7</v>
      </c>
      <c r="J19" s="431">
        <v>8</v>
      </c>
      <c r="K19" s="431">
        <v>9</v>
      </c>
      <c r="L19" s="431">
        <v>10</v>
      </c>
      <c r="M19" s="431">
        <v>11</v>
      </c>
      <c r="N19" s="432">
        <v>12</v>
      </c>
      <c r="O19" s="300">
        <v>9</v>
      </c>
      <c r="XEZ19" s="242">
        <f t="shared" si="0"/>
        <v>3.3333333333333333E-2</v>
      </c>
      <c r="XFA19" s="244">
        <f t="shared" si="1"/>
        <v>0.3</v>
      </c>
    </row>
    <row r="20" spans="1:18 16380:16381" ht="35.25" customHeight="1">
      <c r="A20" s="1073" t="s">
        <v>488</v>
      </c>
      <c r="B20" s="1074"/>
      <c r="C20" s="620" t="str">
        <f>+C47</f>
        <v>100%</v>
      </c>
      <c r="D20" s="463" t="str">
        <f t="shared" ref="D20:N20" si="2">+D47</f>
        <v>100%</v>
      </c>
      <c r="E20" s="463" t="str">
        <f t="shared" si="2"/>
        <v>100%</v>
      </c>
      <c r="F20" s="463" t="str">
        <f t="shared" si="2"/>
        <v>100%</v>
      </c>
      <c r="G20" s="463" t="str">
        <f t="shared" si="2"/>
        <v>100%</v>
      </c>
      <c r="H20" s="463" t="str">
        <f>+H47</f>
        <v>100%</v>
      </c>
      <c r="I20" s="463" t="str">
        <f t="shared" si="2"/>
        <v>100%</v>
      </c>
      <c r="J20" s="463" t="str">
        <f t="shared" si="2"/>
        <v>100%</v>
      </c>
      <c r="K20" s="463" t="str">
        <f t="shared" si="2"/>
        <v>100%</v>
      </c>
      <c r="L20" s="463" t="str">
        <f t="shared" si="2"/>
        <v>100%</v>
      </c>
      <c r="M20" s="463" t="str">
        <f t="shared" si="2"/>
        <v>100%</v>
      </c>
      <c r="N20" s="463" t="str">
        <f t="shared" si="2"/>
        <v>100%</v>
      </c>
      <c r="O20" s="300">
        <v>10</v>
      </c>
      <c r="XEZ20" s="242">
        <f t="shared" si="0"/>
        <v>3.3333333333333333E-2</v>
      </c>
      <c r="XFA20" s="244">
        <f t="shared" si="1"/>
        <v>0.33333333333333331</v>
      </c>
    </row>
    <row r="21" spans="1:18 16380:16381" ht="42" customHeight="1">
      <c r="A21" s="367" t="s">
        <v>485</v>
      </c>
      <c r="B21" s="367"/>
      <c r="C21" s="433" t="s">
        <v>720</v>
      </c>
      <c r="D21" s="433">
        <v>0.96760000000000002</v>
      </c>
      <c r="E21" s="433">
        <v>0.96760000000000002</v>
      </c>
      <c r="F21" s="433">
        <v>0.96760000000000002</v>
      </c>
      <c r="G21" s="433">
        <v>0.96760000000000002</v>
      </c>
      <c r="H21" s="433">
        <v>0.96760000000000002</v>
      </c>
      <c r="I21" s="433">
        <v>0.96760000000000002</v>
      </c>
      <c r="J21" s="433">
        <v>0.96760000000000002</v>
      </c>
      <c r="K21" s="433">
        <v>0.96760000000000002</v>
      </c>
      <c r="L21" s="433">
        <v>0.96760000000000002</v>
      </c>
      <c r="M21" s="433">
        <v>0.96760000000000002</v>
      </c>
      <c r="N21" s="433">
        <v>0.96760000000000002</v>
      </c>
      <c r="O21" s="300">
        <v>11</v>
      </c>
      <c r="XEZ21" s="242">
        <f t="shared" si="0"/>
        <v>3.3333333333333333E-2</v>
      </c>
      <c r="XFA21" s="244">
        <f t="shared" si="1"/>
        <v>0.36666666666666664</v>
      </c>
    </row>
    <row r="22" spans="1:18 16380:16381" s="19" customFormat="1" ht="198" customHeight="1">
      <c r="A22" s="434" t="s">
        <v>144</v>
      </c>
      <c r="B22" s="435"/>
      <c r="C22" s="407">
        <v>4</v>
      </c>
      <c r="D22" s="407"/>
      <c r="E22" s="407"/>
      <c r="F22" s="407"/>
      <c r="G22" s="407"/>
      <c r="H22" s="407"/>
      <c r="I22" s="407"/>
      <c r="J22" s="407"/>
      <c r="K22" s="407"/>
      <c r="L22" s="407"/>
      <c r="M22" s="407"/>
      <c r="N22" s="407"/>
      <c r="O22" s="300">
        <v>12</v>
      </c>
      <c r="Q22" s="4"/>
      <c r="R22" s="4"/>
      <c r="XEZ22" s="242">
        <f t="shared" si="0"/>
        <v>3.3333333333333333E-2</v>
      </c>
      <c r="XFA22" s="244">
        <f t="shared" si="1"/>
        <v>0.39999999999999997</v>
      </c>
    </row>
    <row r="23" spans="1:18 16380:16381" ht="7.5" customHeight="1">
      <c r="A23" s="256"/>
      <c r="B23" s="256"/>
      <c r="C23" s="280"/>
      <c r="D23" s="280"/>
      <c r="E23" s="280"/>
      <c r="F23" s="280"/>
      <c r="G23" s="280"/>
      <c r="H23" s="280"/>
      <c r="I23" s="280"/>
      <c r="J23" s="280"/>
      <c r="K23" s="280"/>
      <c r="L23" s="280"/>
      <c r="M23" s="280"/>
      <c r="N23" s="280"/>
      <c r="O23" s="300">
        <v>13</v>
      </c>
      <c r="XEZ23" s="242">
        <f t="shared" si="0"/>
        <v>3.3333333333333333E-2</v>
      </c>
      <c r="XFA23" s="244">
        <f t="shared" si="1"/>
        <v>0.43333333333333329</v>
      </c>
    </row>
    <row r="24" spans="1:18 16380:16381" ht="25.5" customHeight="1">
      <c r="A24" s="558" t="s">
        <v>667</v>
      </c>
      <c r="B24" s="908" t="s">
        <v>145</v>
      </c>
      <c r="C24" s="908"/>
      <c r="D24" s="908"/>
      <c r="E24" s="908"/>
      <c r="F24" s="909"/>
      <c r="G24" s="911" t="s">
        <v>146</v>
      </c>
      <c r="H24" s="908"/>
      <c r="I24" s="908"/>
      <c r="J24" s="908"/>
      <c r="K24" s="908"/>
      <c r="L24" s="908"/>
      <c r="M24" s="908"/>
      <c r="N24" s="909"/>
      <c r="O24" s="300">
        <v>14</v>
      </c>
      <c r="XEZ24" s="242">
        <f t="shared" si="0"/>
        <v>3.3333333333333333E-2</v>
      </c>
      <c r="XFA24" s="244">
        <f t="shared" si="1"/>
        <v>0.46666666666666662</v>
      </c>
    </row>
    <row r="25" spans="1:18 16380:16381" ht="25.5" customHeight="1">
      <c r="A25" s="358" t="str">
        <f>+IF(C19&gt;0,C18,"")</f>
        <v>ene</v>
      </c>
      <c r="B25" s="900" t="s">
        <v>666</v>
      </c>
      <c r="C25" s="900"/>
      <c r="D25" s="900"/>
      <c r="E25" s="900"/>
      <c r="F25" s="901"/>
      <c r="G25" s="902" t="s">
        <v>663</v>
      </c>
      <c r="H25" s="903"/>
      <c r="I25" s="903"/>
      <c r="J25" s="903"/>
      <c r="K25" s="903"/>
      <c r="L25" s="903"/>
      <c r="M25" s="903"/>
      <c r="N25" s="904"/>
      <c r="O25" s="300">
        <v>15</v>
      </c>
      <c r="XEZ25" s="242">
        <f t="shared" si="0"/>
        <v>3.3333333333333333E-2</v>
      </c>
      <c r="XFA25" s="244">
        <f t="shared" si="1"/>
        <v>0.49999999999999994</v>
      </c>
    </row>
    <row r="26" spans="1:18 16380:16381" s="19" customFormat="1" ht="30.6" customHeight="1">
      <c r="A26" s="359" t="str">
        <f>+IF(D19&gt;0,D18,"")</f>
        <v>feb</v>
      </c>
      <c r="B26" s="917" t="s">
        <v>666</v>
      </c>
      <c r="C26" s="915"/>
      <c r="D26" s="915"/>
      <c r="E26" s="915"/>
      <c r="F26" s="916"/>
      <c r="G26" s="917" t="s">
        <v>663</v>
      </c>
      <c r="H26" s="915"/>
      <c r="I26" s="915"/>
      <c r="J26" s="915"/>
      <c r="K26" s="915"/>
      <c r="L26" s="915"/>
      <c r="M26" s="915"/>
      <c r="N26" s="916"/>
      <c r="O26" s="300">
        <v>16</v>
      </c>
      <c r="XEZ26" s="242">
        <f t="shared" si="0"/>
        <v>3.3333333333333333E-2</v>
      </c>
      <c r="XFA26" s="244">
        <f t="shared" si="1"/>
        <v>0.53333333333333333</v>
      </c>
    </row>
    <row r="27" spans="1:18 16380:16381" s="19" customFormat="1" ht="30.6" customHeight="1">
      <c r="A27" s="359" t="str">
        <f>+IF(E19&gt;0,E18,"")</f>
        <v>mar</v>
      </c>
      <c r="B27" s="917" t="s">
        <v>666</v>
      </c>
      <c r="C27" s="915"/>
      <c r="D27" s="915"/>
      <c r="E27" s="915"/>
      <c r="F27" s="916"/>
      <c r="G27" s="917" t="s">
        <v>663</v>
      </c>
      <c r="H27" s="915"/>
      <c r="I27" s="915"/>
      <c r="J27" s="915"/>
      <c r="K27" s="915"/>
      <c r="L27" s="915"/>
      <c r="M27" s="915"/>
      <c r="N27" s="916"/>
      <c r="O27" s="300">
        <v>17</v>
      </c>
      <c r="XEZ27" s="242">
        <f t="shared" si="0"/>
        <v>3.3333333333333333E-2</v>
      </c>
      <c r="XFA27" s="244">
        <f t="shared" si="1"/>
        <v>0.56666666666666665</v>
      </c>
    </row>
    <row r="28" spans="1:18 16380:16381" s="19" customFormat="1" ht="30.6" customHeight="1">
      <c r="A28" s="359" t="str">
        <f>+IF(F19&gt;0,F18,"")</f>
        <v>abr</v>
      </c>
      <c r="B28" s="914" t="s">
        <v>666</v>
      </c>
      <c r="C28" s="915"/>
      <c r="D28" s="915"/>
      <c r="E28" s="915"/>
      <c r="F28" s="916"/>
      <c r="G28" s="917" t="s">
        <v>663</v>
      </c>
      <c r="H28" s="915"/>
      <c r="I28" s="915"/>
      <c r="J28" s="915"/>
      <c r="K28" s="915"/>
      <c r="L28" s="915"/>
      <c r="M28" s="915"/>
      <c r="N28" s="916"/>
      <c r="O28" s="300">
        <v>18</v>
      </c>
      <c r="XEZ28" s="242">
        <f t="shared" si="0"/>
        <v>3.3333333333333333E-2</v>
      </c>
      <c r="XFA28" s="244">
        <f t="shared" si="1"/>
        <v>0.6</v>
      </c>
    </row>
    <row r="29" spans="1:18 16380:16381" s="19" customFormat="1" ht="30.6" customHeight="1">
      <c r="A29" s="359" t="str">
        <f>+IF(G19&gt;0,G18,"")</f>
        <v>may</v>
      </c>
      <c r="B29" s="914" t="s">
        <v>666</v>
      </c>
      <c r="C29" s="915"/>
      <c r="D29" s="915"/>
      <c r="E29" s="915"/>
      <c r="F29" s="916"/>
      <c r="G29" s="917" t="s">
        <v>663</v>
      </c>
      <c r="H29" s="915"/>
      <c r="I29" s="915"/>
      <c r="J29" s="915"/>
      <c r="K29" s="915"/>
      <c r="L29" s="915"/>
      <c r="M29" s="915"/>
      <c r="N29" s="916"/>
      <c r="O29" s="300">
        <v>19</v>
      </c>
      <c r="XEZ29" s="242">
        <f t="shared" si="0"/>
        <v>3.3333333333333333E-2</v>
      </c>
      <c r="XFA29" s="244">
        <f t="shared" si="1"/>
        <v>0.6333333333333333</v>
      </c>
    </row>
    <row r="30" spans="1:18 16380:16381" s="19" customFormat="1" ht="30.6" customHeight="1">
      <c r="A30" s="359" t="str">
        <f>+IF(H19&gt;0,H18,"")</f>
        <v>jun</v>
      </c>
      <c r="B30" s="914" t="s">
        <v>666</v>
      </c>
      <c r="C30" s="915"/>
      <c r="D30" s="915"/>
      <c r="E30" s="915"/>
      <c r="F30" s="916"/>
      <c r="G30" s="917" t="s">
        <v>663</v>
      </c>
      <c r="H30" s="915"/>
      <c r="I30" s="915"/>
      <c r="J30" s="915"/>
      <c r="K30" s="915"/>
      <c r="L30" s="915"/>
      <c r="M30" s="915"/>
      <c r="N30" s="916"/>
      <c r="O30" s="300">
        <v>20</v>
      </c>
      <c r="XEZ30" s="242">
        <f t="shared" si="0"/>
        <v>3.3333333333333333E-2</v>
      </c>
      <c r="XFA30" s="244">
        <f t="shared" si="1"/>
        <v>0.66666666666666663</v>
      </c>
    </row>
    <row r="31" spans="1:18 16380:16381" s="19" customFormat="1" ht="30.6" customHeight="1">
      <c r="A31" s="359" t="str">
        <f>+IF(I19&gt;0,I18,"")</f>
        <v>jul</v>
      </c>
      <c r="B31" s="914" t="s">
        <v>666</v>
      </c>
      <c r="C31" s="915"/>
      <c r="D31" s="915"/>
      <c r="E31" s="915"/>
      <c r="F31" s="916"/>
      <c r="G31" s="917" t="s">
        <v>663</v>
      </c>
      <c r="H31" s="915"/>
      <c r="I31" s="915"/>
      <c r="J31" s="915"/>
      <c r="K31" s="915"/>
      <c r="L31" s="915"/>
      <c r="M31" s="915"/>
      <c r="N31" s="916"/>
      <c r="O31" s="300">
        <v>21</v>
      </c>
      <c r="XEZ31" s="242">
        <f t="shared" si="0"/>
        <v>3.3333333333333333E-2</v>
      </c>
      <c r="XFA31" s="244">
        <f t="shared" si="1"/>
        <v>0.7</v>
      </c>
    </row>
    <row r="32" spans="1:18 16380:16381" s="19" customFormat="1" ht="30.6" customHeight="1">
      <c r="A32" s="359" t="str">
        <f>+IF(J19&gt;0,J18,"")</f>
        <v>ago</v>
      </c>
      <c r="B32" s="914" t="s">
        <v>666</v>
      </c>
      <c r="C32" s="915"/>
      <c r="D32" s="915"/>
      <c r="E32" s="915"/>
      <c r="F32" s="916"/>
      <c r="G32" s="917" t="s">
        <v>663</v>
      </c>
      <c r="H32" s="915"/>
      <c r="I32" s="915"/>
      <c r="J32" s="915"/>
      <c r="K32" s="915"/>
      <c r="L32" s="915"/>
      <c r="M32" s="915"/>
      <c r="N32" s="916"/>
      <c r="O32" s="300">
        <v>22</v>
      </c>
      <c r="P32" s="19">
        <v>27</v>
      </c>
      <c r="Q32" s="19" t="s">
        <v>404</v>
      </c>
      <c r="XEZ32" s="242">
        <f t="shared" si="0"/>
        <v>3.3333333333333333E-2</v>
      </c>
      <c r="XFA32" s="244">
        <f t="shared" si="1"/>
        <v>0.73333333333333328</v>
      </c>
    </row>
    <row r="33" spans="1:19 16380:16381" s="19" customFormat="1" ht="30.6" customHeight="1">
      <c r="A33" s="359" t="str">
        <f>+IF(K19&gt;0,K18,"")</f>
        <v>sep</v>
      </c>
      <c r="B33" s="914" t="s">
        <v>666</v>
      </c>
      <c r="C33" s="915"/>
      <c r="D33" s="915"/>
      <c r="E33" s="915"/>
      <c r="F33" s="916"/>
      <c r="G33" s="917" t="s">
        <v>663</v>
      </c>
      <c r="H33" s="915"/>
      <c r="I33" s="915"/>
      <c r="J33" s="915"/>
      <c r="K33" s="915"/>
      <c r="L33" s="915"/>
      <c r="M33" s="915"/>
      <c r="N33" s="916"/>
      <c r="O33" s="300">
        <v>23</v>
      </c>
      <c r="P33" s="4">
        <v>48</v>
      </c>
      <c r="Q33" s="4" t="s">
        <v>405</v>
      </c>
      <c r="R33" s="4"/>
      <c r="S33" s="4"/>
      <c r="XEZ33" s="242">
        <f t="shared" si="0"/>
        <v>3.3333333333333333E-2</v>
      </c>
      <c r="XFA33" s="244">
        <f t="shared" si="1"/>
        <v>0.76666666666666661</v>
      </c>
    </row>
    <row r="34" spans="1:19 16380:16381" s="19" customFormat="1" ht="30.6" customHeight="1">
      <c r="A34" s="359" t="str">
        <f>+IF(L19&gt;0,L18,"")</f>
        <v>oct</v>
      </c>
      <c r="B34" s="914"/>
      <c r="C34" s="915"/>
      <c r="D34" s="915"/>
      <c r="E34" s="915"/>
      <c r="F34" s="916"/>
      <c r="G34" s="917"/>
      <c r="H34" s="915"/>
      <c r="I34" s="915"/>
      <c r="J34" s="915"/>
      <c r="K34" s="915"/>
      <c r="L34" s="915"/>
      <c r="M34" s="915"/>
      <c r="N34" s="916"/>
      <c r="O34" s="300">
        <v>24</v>
      </c>
      <c r="P34" s="4">
        <f>+P33*4</f>
        <v>192</v>
      </c>
      <c r="Q34" s="4" t="s">
        <v>342</v>
      </c>
      <c r="R34" s="4" t="s">
        <v>406</v>
      </c>
      <c r="S34" s="4"/>
      <c r="XEZ34" s="242">
        <f t="shared" si="0"/>
        <v>3.3333333333333333E-2</v>
      </c>
      <c r="XFA34" s="244">
        <f t="shared" si="1"/>
        <v>0.79999999999999993</v>
      </c>
    </row>
    <row r="35" spans="1:19 16380:16381" s="19" customFormat="1" ht="30.6" customHeight="1">
      <c r="A35" s="359" t="str">
        <f>+IF(M19&gt;0,M18,"")</f>
        <v>nov</v>
      </c>
      <c r="B35" s="914"/>
      <c r="C35" s="915"/>
      <c r="D35" s="915"/>
      <c r="E35" s="915"/>
      <c r="F35" s="916"/>
      <c r="G35" s="917"/>
      <c r="H35" s="915"/>
      <c r="I35" s="915"/>
      <c r="J35" s="915"/>
      <c r="K35" s="915"/>
      <c r="L35" s="915"/>
      <c r="M35" s="915"/>
      <c r="N35" s="916"/>
      <c r="O35" s="300">
        <v>25</v>
      </c>
      <c r="P35" s="4">
        <f>P34*P32</f>
        <v>5184</v>
      </c>
      <c r="Q35" s="4" t="s">
        <v>407</v>
      </c>
      <c r="R35" s="4"/>
      <c r="S35" s="4"/>
      <c r="XEZ35" s="242">
        <f t="shared" si="0"/>
        <v>3.3333333333333333E-2</v>
      </c>
      <c r="XFA35" s="244">
        <f t="shared" si="1"/>
        <v>0.83333333333333326</v>
      </c>
    </row>
    <row r="36" spans="1:19 16380:16381" s="19" customFormat="1" ht="30.6" customHeight="1">
      <c r="A36" s="360" t="str">
        <f>+IF(N19&gt;0,N18,"")</f>
        <v>dic</v>
      </c>
      <c r="B36" s="914"/>
      <c r="C36" s="915"/>
      <c r="D36" s="915"/>
      <c r="E36" s="915"/>
      <c r="F36" s="916"/>
      <c r="G36" s="917"/>
      <c r="H36" s="915"/>
      <c r="I36" s="915"/>
      <c r="J36" s="915"/>
      <c r="K36" s="915"/>
      <c r="L36" s="915"/>
      <c r="M36" s="915"/>
      <c r="N36" s="916"/>
      <c r="O36" s="300">
        <v>26</v>
      </c>
      <c r="P36" s="4">
        <f>+P35*12</f>
        <v>62208</v>
      </c>
      <c r="Q36" s="4" t="s">
        <v>408</v>
      </c>
      <c r="R36" s="4"/>
      <c r="S36" s="4"/>
      <c r="XEZ36" s="242">
        <f t="shared" si="0"/>
        <v>3.3333333333333333E-2</v>
      </c>
      <c r="XFA36" s="244">
        <f t="shared" si="1"/>
        <v>0.86666666666666659</v>
      </c>
    </row>
    <row r="37" spans="1:19 16380:16381" s="19" customFormat="1" ht="30.6" customHeight="1">
      <c r="A37" s="39" t="str">
        <f>+IF(N19&gt;0,N18,"")</f>
        <v>dic</v>
      </c>
      <c r="B37" s="1026"/>
      <c r="C37" s="743"/>
      <c r="D37" s="743"/>
      <c r="E37" s="743"/>
      <c r="F37" s="744"/>
      <c r="G37" s="1067"/>
      <c r="H37" s="1068"/>
      <c r="I37" s="1068"/>
      <c r="J37" s="1068"/>
      <c r="K37" s="1068"/>
      <c r="L37" s="1068"/>
      <c r="M37" s="1068"/>
      <c r="N37" s="1069"/>
      <c r="O37" s="300">
        <v>27</v>
      </c>
      <c r="P37" s="4"/>
      <c r="Q37" s="4"/>
      <c r="R37" s="4"/>
      <c r="S37" s="4"/>
      <c r="XEZ37" s="242">
        <f t="shared" si="0"/>
        <v>3.3333333333333333E-2</v>
      </c>
      <c r="XFA37" s="244">
        <f t="shared" si="1"/>
        <v>0.89999999999999991</v>
      </c>
    </row>
    <row r="38" spans="1:19 16380:16381">
      <c r="A38" s="256"/>
      <c r="B38" s="256"/>
      <c r="C38" s="280"/>
      <c r="D38" s="280"/>
      <c r="E38" s="280"/>
      <c r="F38" s="280"/>
      <c r="G38" s="280"/>
      <c r="H38" s="280"/>
      <c r="I38" s="280"/>
      <c r="J38" s="280"/>
      <c r="K38" s="280"/>
      <c r="L38" s="280"/>
      <c r="M38" s="280"/>
      <c r="N38" s="280"/>
      <c r="O38" s="300">
        <v>28</v>
      </c>
      <c r="XEZ38" s="242">
        <f t="shared" si="0"/>
        <v>3.3333333333333333E-2</v>
      </c>
      <c r="XFA38" s="244">
        <f t="shared" si="1"/>
        <v>0.93333333333333324</v>
      </c>
    </row>
    <row r="39" spans="1:19 16380:16381">
      <c r="A39" s="256"/>
      <c r="B39" s="256"/>
      <c r="C39" s="427" t="s">
        <v>212</v>
      </c>
      <c r="D39" s="427" t="s">
        <v>213</v>
      </c>
      <c r="E39" s="427" t="s">
        <v>214</v>
      </c>
      <c r="F39" s="427" t="s">
        <v>215</v>
      </c>
      <c r="G39" s="427" t="s">
        <v>216</v>
      </c>
      <c r="H39" s="427" t="s">
        <v>217</v>
      </c>
      <c r="I39" s="427" t="s">
        <v>218</v>
      </c>
      <c r="J39" s="427" t="s">
        <v>219</v>
      </c>
      <c r="K39" s="427" t="s">
        <v>220</v>
      </c>
      <c r="L39" s="427" t="s">
        <v>221</v>
      </c>
      <c r="M39" s="427" t="s">
        <v>222</v>
      </c>
      <c r="N39" s="436" t="s">
        <v>223</v>
      </c>
      <c r="O39" s="300">
        <v>29</v>
      </c>
      <c r="XEZ39" s="242">
        <f t="shared" si="0"/>
        <v>3.3333333333333333E-2</v>
      </c>
      <c r="XFA39" s="244">
        <f t="shared" si="1"/>
        <v>0.96666666666666656</v>
      </c>
    </row>
    <row r="40" spans="1:19 16380:16381" ht="24" customHeight="1">
      <c r="A40" s="1078" t="s">
        <v>513</v>
      </c>
      <c r="B40" s="1079"/>
      <c r="C40" s="503">
        <v>0</v>
      </c>
      <c r="D40" s="503">
        <v>0</v>
      </c>
      <c r="E40" s="503">
        <v>0</v>
      </c>
      <c r="F40" s="503">
        <v>0</v>
      </c>
      <c r="G40" s="503">
        <v>0</v>
      </c>
      <c r="H40" s="503">
        <v>0</v>
      </c>
      <c r="I40" s="503">
        <v>0</v>
      </c>
      <c r="J40" s="503"/>
      <c r="K40" s="503"/>
      <c r="L40" s="503"/>
      <c r="M40" s="503"/>
      <c r="N40" s="505"/>
      <c r="O40" s="300">
        <v>30</v>
      </c>
      <c r="P40" s="4">
        <f>+SUM(C40:N40)</f>
        <v>0</v>
      </c>
      <c r="XEZ40" s="242">
        <f t="shared" si="0"/>
        <v>3.3333333333333333E-2</v>
      </c>
      <c r="XFA40" s="244">
        <f t="shared" si="1"/>
        <v>0.99999999999999989</v>
      </c>
    </row>
    <row r="41" spans="1:19 16380:16381" ht="16.5" customHeight="1">
      <c r="A41" s="1078" t="s">
        <v>514</v>
      </c>
      <c r="B41" s="1079"/>
      <c r="C41" s="503">
        <v>0</v>
      </c>
      <c r="D41" s="503">
        <v>0</v>
      </c>
      <c r="E41" s="503">
        <v>0</v>
      </c>
      <c r="F41" s="503">
        <v>0</v>
      </c>
      <c r="G41" s="503">
        <v>0</v>
      </c>
      <c r="H41" s="503">
        <v>0</v>
      </c>
      <c r="I41" s="503">
        <v>0</v>
      </c>
      <c r="J41" s="503"/>
      <c r="K41" s="503"/>
      <c r="L41" s="503"/>
      <c r="M41" s="503"/>
      <c r="N41" s="503"/>
    </row>
    <row r="42" spans="1:19 16380:16381">
      <c r="A42" s="1078" t="s">
        <v>409</v>
      </c>
      <c r="B42" s="1079"/>
      <c r="C42" s="580">
        <v>5136</v>
      </c>
      <c r="D42" s="580">
        <v>5136</v>
      </c>
      <c r="E42" s="580">
        <v>5136</v>
      </c>
      <c r="F42" s="580">
        <v>5136</v>
      </c>
      <c r="G42" s="580">
        <v>5136</v>
      </c>
      <c r="H42" s="580">
        <v>5136</v>
      </c>
      <c r="I42" s="580">
        <f>((I44*8)*6)*4</f>
        <v>5376</v>
      </c>
      <c r="J42" s="580">
        <f t="shared" ref="J42:N42" si="3">((J44*8)*6)*4</f>
        <v>0</v>
      </c>
      <c r="K42" s="580">
        <f t="shared" ref="K42" si="4">((K44*8)*6)*4</f>
        <v>0</v>
      </c>
      <c r="L42" s="580">
        <f t="shared" si="3"/>
        <v>0</v>
      </c>
      <c r="M42" s="580">
        <f t="shared" si="3"/>
        <v>0</v>
      </c>
      <c r="N42" s="580">
        <f t="shared" si="3"/>
        <v>0</v>
      </c>
      <c r="P42" s="4">
        <f>+P36</f>
        <v>62208</v>
      </c>
    </row>
    <row r="43" spans="1:19 16380:16381" ht="25.5">
      <c r="A43" s="437" t="s">
        <v>410</v>
      </c>
      <c r="B43" s="438"/>
      <c r="C43" s="580">
        <f>C42*12</f>
        <v>61632</v>
      </c>
      <c r="D43" s="580">
        <f t="shared" ref="D43:E43" si="5">D42*12</f>
        <v>61632</v>
      </c>
      <c r="E43" s="580">
        <f t="shared" si="5"/>
        <v>61632</v>
      </c>
      <c r="F43" s="580">
        <f t="shared" ref="F43:N43" si="6">F42*12</f>
        <v>61632</v>
      </c>
      <c r="G43" s="580">
        <f>G42*12</f>
        <v>61632</v>
      </c>
      <c r="H43" s="580">
        <f t="shared" si="6"/>
        <v>61632</v>
      </c>
      <c r="I43" s="580">
        <f>I42*12</f>
        <v>64512</v>
      </c>
      <c r="J43" s="580">
        <f t="shared" si="6"/>
        <v>0</v>
      </c>
      <c r="K43" s="580">
        <f t="shared" si="6"/>
        <v>0</v>
      </c>
      <c r="L43" s="580">
        <f t="shared" si="6"/>
        <v>0</v>
      </c>
      <c r="M43" s="580">
        <f t="shared" si="6"/>
        <v>0</v>
      </c>
      <c r="N43" s="580">
        <f t="shared" si="6"/>
        <v>0</v>
      </c>
    </row>
    <row r="44" spans="1:19 16380:16381">
      <c r="A44" s="1078" t="s">
        <v>411</v>
      </c>
      <c r="B44" s="1079"/>
      <c r="C44" s="503">
        <v>27</v>
      </c>
      <c r="D44" s="503">
        <v>27</v>
      </c>
      <c r="E44" s="503">
        <v>28</v>
      </c>
      <c r="F44" s="503">
        <v>28</v>
      </c>
      <c r="G44" s="503">
        <v>28</v>
      </c>
      <c r="H44" s="503">
        <v>28</v>
      </c>
      <c r="I44" s="503">
        <v>28</v>
      </c>
      <c r="J44" s="503"/>
      <c r="K44" s="503"/>
      <c r="L44" s="503"/>
      <c r="M44" s="503"/>
      <c r="N44" s="503"/>
    </row>
    <row r="45" spans="1:19 16380:16381" ht="15" customHeight="1">
      <c r="A45" s="1078" t="s">
        <v>412</v>
      </c>
      <c r="B45" s="1079"/>
      <c r="C45" s="581">
        <f>IFERROR((C40/C42)-100%,"")</f>
        <v>-1</v>
      </c>
      <c r="D45" s="581">
        <f t="shared" ref="D45:N45" si="7">IFERROR((D40/D42)-100%,"")</f>
        <v>-1</v>
      </c>
      <c r="E45" s="581">
        <f>IFERROR((E40/E42)-O5100%,"")</f>
        <v>0</v>
      </c>
      <c r="F45" s="581">
        <f t="shared" si="7"/>
        <v>-1</v>
      </c>
      <c r="G45" s="581">
        <f t="shared" si="7"/>
        <v>-1</v>
      </c>
      <c r="H45" s="581">
        <f t="shared" si="7"/>
        <v>-1</v>
      </c>
      <c r="I45" s="581">
        <f>IFERROR((I40/I42)-100%,"")</f>
        <v>-1</v>
      </c>
      <c r="J45" s="504" t="str">
        <f t="shared" si="7"/>
        <v/>
      </c>
      <c r="K45" s="504" t="str">
        <f t="shared" si="7"/>
        <v/>
      </c>
      <c r="L45" s="504" t="str">
        <f t="shared" si="7"/>
        <v/>
      </c>
      <c r="M45" s="504" t="str">
        <f t="shared" si="7"/>
        <v/>
      </c>
      <c r="N45" s="504" t="str">
        <f t="shared" si="7"/>
        <v/>
      </c>
      <c r="P45" s="209">
        <f>(P40/P42)-100%</f>
        <v>-1</v>
      </c>
    </row>
    <row r="46" spans="1:19 16380:16381" ht="15" customHeight="1">
      <c r="A46" s="1080" t="s">
        <v>413</v>
      </c>
      <c r="B46" s="1081"/>
      <c r="C46" s="504" t="str">
        <f>+C21</f>
        <v>96.76%</v>
      </c>
      <c r="D46" s="504">
        <f t="shared" ref="D46:N46" si="8">+D21</f>
        <v>0.96760000000000002</v>
      </c>
      <c r="E46" s="504">
        <f t="shared" si="8"/>
        <v>0.96760000000000002</v>
      </c>
      <c r="F46" s="504">
        <f t="shared" si="8"/>
        <v>0.96760000000000002</v>
      </c>
      <c r="G46" s="504">
        <f t="shared" si="8"/>
        <v>0.96760000000000002</v>
      </c>
      <c r="H46" s="504">
        <f t="shared" si="8"/>
        <v>0.96760000000000002</v>
      </c>
      <c r="I46" s="504">
        <f t="shared" si="8"/>
        <v>0.96760000000000002</v>
      </c>
      <c r="J46" s="504">
        <f t="shared" si="8"/>
        <v>0.96760000000000002</v>
      </c>
      <c r="K46" s="504">
        <f t="shared" si="8"/>
        <v>0.96760000000000002</v>
      </c>
      <c r="L46" s="504">
        <f>+L21</f>
        <v>0.96760000000000002</v>
      </c>
      <c r="M46" s="504">
        <f t="shared" si="8"/>
        <v>0.96760000000000002</v>
      </c>
      <c r="N46" s="504">
        <f t="shared" si="8"/>
        <v>0.96760000000000002</v>
      </c>
      <c r="P46" s="209"/>
    </row>
    <row r="47" spans="1:19 16380:16381">
      <c r="A47" s="1076" t="s">
        <v>152</v>
      </c>
      <c r="B47" s="1077"/>
      <c r="C47" s="426" t="str">
        <f>IF(C48=30,"100%",IF(C48=29,"96.67%",IF(C48=28,"93.33%",IF(C48=27,"90%",IF(C48=26,"86.67%",IF(C48=25,"83.33%",IF(C48=24,"80%","ERROR")))))))</f>
        <v>100%</v>
      </c>
      <c r="D47" s="426" t="str">
        <f>IF(D48=30,"100%",IF(D48=29,"96.67%",IF(D48=28,"93.33%",IF(D48=27,"90%",IF(D48=26,"86.67%",IF(D48=25,"83.33%",IF(D48=24,"80%","ERROR")))))))</f>
        <v>100%</v>
      </c>
      <c r="E47" s="426" t="str">
        <f t="shared" ref="E47:G47" si="9">IF(E48=30,"100%",IF(E48=29,"96.67%",IF(E48=28,"93.33%",IF(E48=27,"90%",IF(E48=26,"86.67%",IF(E48=25,"83.33%",IF(E48=24,"80%","ERROR")))))))</f>
        <v>100%</v>
      </c>
      <c r="F47" s="426" t="str">
        <f t="shared" si="9"/>
        <v>100%</v>
      </c>
      <c r="G47" s="426" t="str">
        <f t="shared" si="9"/>
        <v>100%</v>
      </c>
      <c r="H47" s="426" t="str">
        <f>IF(H48=30,"100%",IF(H48=29,"96.67%",IF(H48=28,"93.33%",IF(H48=27,"90%",IF(H48=26,"86.67%",IF(H48=25,"83.33%",IF(H48=24,"80%","ERROR")))))))</f>
        <v>100%</v>
      </c>
      <c r="I47" s="426" t="str">
        <f t="shared" ref="I47:N47" si="10">IF(I48=30,"100%",IF(I48=29,"96.67%",IF(I48=28,"93.33%",IF(I48=27,"90%",IF(I48=26,"86.67%",IF(I48=25,"83.33%",IF(I48=24,"80%","ERROR")))))))</f>
        <v>100%</v>
      </c>
      <c r="J47" s="426" t="str">
        <f t="shared" si="10"/>
        <v>100%</v>
      </c>
      <c r="K47" s="426" t="str">
        <f t="shared" si="10"/>
        <v>100%</v>
      </c>
      <c r="L47" s="426" t="str">
        <f t="shared" si="10"/>
        <v>100%</v>
      </c>
      <c r="M47" s="426" t="str">
        <f t="shared" si="10"/>
        <v>100%</v>
      </c>
      <c r="N47" s="426" t="str">
        <f t="shared" si="10"/>
        <v>100%</v>
      </c>
      <c r="O47" s="157"/>
    </row>
    <row r="48" spans="1:19 16380:16381">
      <c r="C48" s="466">
        <f>30-C41</f>
        <v>30</v>
      </c>
      <c r="D48" s="466">
        <f t="shared" ref="D48:N48" si="11">30-D41</f>
        <v>30</v>
      </c>
      <c r="E48" s="466">
        <f t="shared" si="11"/>
        <v>30</v>
      </c>
      <c r="F48" s="466">
        <f t="shared" si="11"/>
        <v>30</v>
      </c>
      <c r="G48" s="466">
        <f t="shared" si="11"/>
        <v>30</v>
      </c>
      <c r="H48" s="466">
        <f t="shared" si="11"/>
        <v>30</v>
      </c>
      <c r="I48" s="466">
        <f t="shared" si="11"/>
        <v>30</v>
      </c>
      <c r="J48" s="466">
        <f t="shared" si="11"/>
        <v>30</v>
      </c>
      <c r="K48" s="466">
        <f t="shared" si="11"/>
        <v>30</v>
      </c>
      <c r="L48" s="466">
        <f>30-L41</f>
        <v>30</v>
      </c>
      <c r="M48" s="466">
        <f t="shared" si="11"/>
        <v>30</v>
      </c>
      <c r="N48" s="466">
        <f t="shared" si="11"/>
        <v>30</v>
      </c>
    </row>
    <row r="51" spans="1:3">
      <c r="A51" s="1075" t="s">
        <v>639</v>
      </c>
      <c r="B51" s="1075"/>
      <c r="C51" s="452" t="e">
        <f>AVERAGE(C20,D20,E20,F20,G20,H20,I20,J20,K20,L20,M20,N20)</f>
        <v>#DIV/0!</v>
      </c>
    </row>
    <row r="52" spans="1:3" ht="6" customHeight="1"/>
  </sheetData>
  <sheetProtection formatCells="0" formatColumns="0" formatRows="0"/>
  <mergeCells count="58">
    <mergeCell ref="A51:B51"/>
    <mergeCell ref="A47:B47"/>
    <mergeCell ref="B35:F35"/>
    <mergeCell ref="G35:N35"/>
    <mergeCell ref="G36:N36"/>
    <mergeCell ref="B37:F37"/>
    <mergeCell ref="G37:N37"/>
    <mergeCell ref="A40:B40"/>
    <mergeCell ref="A41:B41"/>
    <mergeCell ref="A42:B42"/>
    <mergeCell ref="A44:B44"/>
    <mergeCell ref="A45:B45"/>
    <mergeCell ref="A46:B46"/>
    <mergeCell ref="B36:F36"/>
    <mergeCell ref="B33:F33"/>
    <mergeCell ref="G33:N33"/>
    <mergeCell ref="B34:F34"/>
    <mergeCell ref="G34:N34"/>
    <mergeCell ref="B25:F25"/>
    <mergeCell ref="G25:N25"/>
    <mergeCell ref="B30:F30"/>
    <mergeCell ref="G30:N30"/>
    <mergeCell ref="B31:F31"/>
    <mergeCell ref="G31:N31"/>
    <mergeCell ref="B32:F32"/>
    <mergeCell ref="G32:N32"/>
    <mergeCell ref="B27:F27"/>
    <mergeCell ref="G27:N27"/>
    <mergeCell ref="B28:F28"/>
    <mergeCell ref="G28:N28"/>
    <mergeCell ref="B29:F29"/>
    <mergeCell ref="G29:N29"/>
    <mergeCell ref="C6:N6"/>
    <mergeCell ref="C7:N7"/>
    <mergeCell ref="C9:N9"/>
    <mergeCell ref="C12:N12"/>
    <mergeCell ref="B26:F26"/>
    <mergeCell ref="G26:N26"/>
    <mergeCell ref="A13:B13"/>
    <mergeCell ref="C13:N13"/>
    <mergeCell ref="C14:N14"/>
    <mergeCell ref="C15:N15"/>
    <mergeCell ref="A18:B18"/>
    <mergeCell ref="A19:B19"/>
    <mergeCell ref="A20:B20"/>
    <mergeCell ref="A16:B16"/>
    <mergeCell ref="C16:N16"/>
    <mergeCell ref="B24:F24"/>
    <mergeCell ref="G24:N24"/>
    <mergeCell ref="A1:J4"/>
    <mergeCell ref="K1:L1"/>
    <mergeCell ref="M1:N1"/>
    <mergeCell ref="K2:L2"/>
    <mergeCell ref="M2:N2"/>
    <mergeCell ref="K3:L3"/>
    <mergeCell ref="M3:N3"/>
    <mergeCell ref="K4:L4"/>
    <mergeCell ref="M4:N4"/>
  </mergeCells>
  <hyperlinks>
    <hyperlink ref="O5" location="'Matriz Sta Ana'!A1" display="Volver" xr:uid="{FEE5BE18-AD22-49D3-A4AC-7F417BE5B568}"/>
  </hyperlinks>
  <pageMargins left="0.7" right="0.7" top="0.75" bottom="0.75" header="0.3" footer="0.3"/>
  <pageSetup scale="58" fitToHeight="0" orientation="portrait" r:id="rId1"/>
  <rowBreaks count="1" manualBreakCount="1">
    <brk id="22" max="13" man="1"/>
  </rowBreaks>
  <drawing r:id="rId2"/>
  <legacyDrawing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8BB37-DE14-4056-A48C-1AAA74FE5F6C}">
  <sheetPr>
    <tabColor rgb="FFFFFFCC"/>
    <pageSetUpPr fitToPage="1"/>
  </sheetPr>
  <dimension ref="A1:R42"/>
  <sheetViews>
    <sheetView view="pageBreakPreview" topLeftCell="A29" zoomScaleNormal="100" zoomScaleSheetLayoutView="100" workbookViewId="0">
      <selection activeCell="G34" sqref="G34:N34"/>
    </sheetView>
  </sheetViews>
  <sheetFormatPr baseColWidth="10" defaultColWidth="11.42578125" defaultRowHeight="16.5"/>
  <cols>
    <col min="1" max="1" width="7.42578125" style="5" customWidth="1"/>
    <col min="2" max="2" width="33.5703125" style="5" customWidth="1"/>
    <col min="3" max="4" width="7.140625" style="4" customWidth="1"/>
    <col min="5" max="5" width="7.42578125" style="4" customWidth="1"/>
    <col min="6" max="6" width="8.140625" style="4" customWidth="1"/>
    <col min="7" max="12" width="7.140625" style="4" customWidth="1"/>
    <col min="13" max="13" width="10.42578125" style="4" bestFit="1" customWidth="1"/>
    <col min="14" max="14" width="11.42578125" style="4"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0</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8" customHeight="1">
      <c r="A6" s="5" t="s">
        <v>121</v>
      </c>
      <c r="C6" s="734" t="s">
        <v>417</v>
      </c>
      <c r="D6" s="734"/>
      <c r="E6" s="734"/>
      <c r="F6" s="734"/>
      <c r="G6" s="734"/>
      <c r="H6" s="734"/>
      <c r="I6" s="734"/>
      <c r="J6" s="734"/>
      <c r="K6" s="734"/>
      <c r="L6" s="734"/>
      <c r="M6" s="734"/>
      <c r="N6" s="734"/>
    </row>
    <row r="7" spans="1:15" ht="20.25" customHeight="1">
      <c r="A7" s="5" t="s">
        <v>3</v>
      </c>
      <c r="C7" s="700" t="s">
        <v>447</v>
      </c>
      <c r="D7" s="700"/>
      <c r="E7" s="700"/>
      <c r="F7" s="700"/>
      <c r="G7" s="700"/>
      <c r="H7" s="700"/>
      <c r="I7" s="700"/>
      <c r="J7" s="700"/>
      <c r="K7" s="700"/>
      <c r="L7" s="700"/>
      <c r="M7" s="700"/>
      <c r="N7" s="700"/>
    </row>
    <row r="8" spans="1:15">
      <c r="A8" s="5" t="s">
        <v>122</v>
      </c>
      <c r="C8" s="306" t="s">
        <v>123</v>
      </c>
      <c r="D8" s="306"/>
      <c r="E8" s="306"/>
      <c r="F8" s="306"/>
      <c r="G8" s="306"/>
      <c r="H8" s="306"/>
      <c r="I8" s="306"/>
      <c r="J8" s="306"/>
      <c r="K8" s="306"/>
      <c r="L8" s="306"/>
      <c r="M8" s="306"/>
      <c r="N8" s="306"/>
    </row>
    <row r="9" spans="1:15" ht="17.25" customHeight="1">
      <c r="A9" s="5" t="s">
        <v>124</v>
      </c>
      <c r="C9" s="1082" t="s">
        <v>696</v>
      </c>
      <c r="D9" s="1082"/>
      <c r="E9" s="1082"/>
      <c r="F9" s="1082"/>
      <c r="G9" s="1082"/>
      <c r="H9" s="1082"/>
      <c r="I9" s="1082"/>
      <c r="J9" s="1082"/>
      <c r="K9" s="1082"/>
      <c r="L9" s="1082"/>
      <c r="M9" s="1082"/>
      <c r="N9" s="1082"/>
    </row>
    <row r="10" spans="1:15">
      <c r="A10" s="5" t="s">
        <v>5</v>
      </c>
      <c r="C10" s="64" t="s">
        <v>15</v>
      </c>
      <c r="D10" s="64"/>
      <c r="E10" s="64"/>
      <c r="F10" s="64"/>
      <c r="G10" s="64"/>
      <c r="H10" s="64"/>
      <c r="I10" s="64"/>
      <c r="J10" s="64"/>
      <c r="K10" s="64"/>
      <c r="L10" s="64"/>
      <c r="M10" s="64"/>
      <c r="N10" s="64"/>
    </row>
    <row r="11" spans="1:15">
      <c r="A11" s="5" t="s">
        <v>6</v>
      </c>
      <c r="C11" s="64" t="s">
        <v>396</v>
      </c>
      <c r="D11" s="64"/>
      <c r="E11" s="64"/>
      <c r="F11" s="64"/>
      <c r="G11" s="64"/>
      <c r="H11" s="64"/>
      <c r="I11" s="64"/>
      <c r="J11" s="64"/>
      <c r="K11" s="64"/>
      <c r="L11" s="64"/>
      <c r="M11" s="64"/>
      <c r="N11" s="64"/>
    </row>
    <row r="12" spans="1:15" ht="18" customHeight="1">
      <c r="A12" s="5" t="s">
        <v>7</v>
      </c>
      <c r="C12" s="700" t="s">
        <v>490</v>
      </c>
      <c r="D12" s="700"/>
      <c r="E12" s="700"/>
      <c r="F12" s="700"/>
      <c r="G12" s="700"/>
      <c r="H12" s="700"/>
      <c r="I12" s="700"/>
      <c r="J12" s="700"/>
      <c r="K12" s="700"/>
      <c r="L12" s="700"/>
      <c r="M12" s="700"/>
      <c r="N12" s="700"/>
    </row>
    <row r="13" spans="1:15" ht="30" customHeight="1">
      <c r="A13" s="737" t="s">
        <v>125</v>
      </c>
      <c r="B13" s="737"/>
      <c r="C13" s="700" t="s">
        <v>369</v>
      </c>
      <c r="D13" s="700"/>
      <c r="E13" s="700"/>
      <c r="F13" s="700"/>
      <c r="G13" s="700"/>
      <c r="H13" s="700"/>
      <c r="I13" s="700"/>
      <c r="J13" s="700"/>
      <c r="K13" s="700"/>
      <c r="L13" s="700"/>
      <c r="M13" s="700"/>
      <c r="N13" s="700"/>
    </row>
    <row r="14" spans="1:15" ht="33" customHeight="1">
      <c r="A14" s="5" t="s">
        <v>127</v>
      </c>
      <c r="C14" s="700" t="s">
        <v>418</v>
      </c>
      <c r="D14" s="700"/>
      <c r="E14" s="700"/>
      <c r="F14" s="700"/>
      <c r="G14" s="700"/>
      <c r="H14" s="700"/>
      <c r="I14" s="700"/>
      <c r="J14" s="700"/>
      <c r="K14" s="700"/>
      <c r="L14" s="700"/>
      <c r="M14" s="700"/>
      <c r="N14" s="700"/>
    </row>
    <row r="15" spans="1:15" ht="17.25" customHeight="1">
      <c r="A15" s="5" t="s">
        <v>10</v>
      </c>
      <c r="C15" s="701" t="s">
        <v>357</v>
      </c>
      <c r="D15" s="701"/>
      <c r="E15" s="701"/>
      <c r="F15" s="701"/>
      <c r="G15" s="701"/>
      <c r="H15" s="701"/>
      <c r="I15" s="701"/>
      <c r="J15" s="701"/>
      <c r="K15" s="701"/>
      <c r="L15" s="701"/>
      <c r="M15" s="701"/>
      <c r="N15" s="701"/>
    </row>
    <row r="16" spans="1:15" ht="20.25" customHeight="1">
      <c r="A16" s="886" t="s">
        <v>443</v>
      </c>
      <c r="B16" s="886"/>
      <c r="C16" s="708"/>
      <c r="D16" s="709"/>
      <c r="E16" s="709"/>
      <c r="F16" s="709"/>
      <c r="G16" s="709"/>
      <c r="H16" s="709"/>
      <c r="I16" s="709"/>
      <c r="J16" s="709"/>
      <c r="K16" s="709"/>
      <c r="L16" s="709"/>
      <c r="M16" s="709"/>
      <c r="N16" s="709"/>
    </row>
    <row r="17" spans="1:18" ht="15" customHeight="1">
      <c r="A17" s="283"/>
      <c r="B17" s="283"/>
      <c r="C17" s="284"/>
      <c r="D17" s="284"/>
      <c r="E17" s="284"/>
      <c r="F17" s="284"/>
      <c r="G17" s="284"/>
      <c r="H17" s="284"/>
      <c r="I17" s="284"/>
      <c r="J17" s="256"/>
      <c r="K17" s="256"/>
      <c r="L17" s="256"/>
      <c r="M17" s="256"/>
      <c r="N17" s="256"/>
    </row>
    <row r="18" spans="1:18">
      <c r="A18" s="1090" t="s">
        <v>129</v>
      </c>
      <c r="B18" s="1091"/>
      <c r="C18" s="220" t="s">
        <v>130</v>
      </c>
      <c r="D18" s="220" t="s">
        <v>131</v>
      </c>
      <c r="E18" s="220" t="s">
        <v>132</v>
      </c>
      <c r="F18" s="220" t="s">
        <v>133</v>
      </c>
      <c r="G18" s="220" t="s">
        <v>134</v>
      </c>
      <c r="H18" s="220" t="s">
        <v>135</v>
      </c>
      <c r="I18" s="220" t="s">
        <v>136</v>
      </c>
      <c r="J18" s="220" t="s">
        <v>137</v>
      </c>
      <c r="K18" s="220" t="s">
        <v>138</v>
      </c>
      <c r="L18" s="220" t="s">
        <v>139</v>
      </c>
      <c r="M18" s="220" t="s">
        <v>140</v>
      </c>
      <c r="N18" s="220" t="s">
        <v>141</v>
      </c>
    </row>
    <row r="19" spans="1:18">
      <c r="A19" s="4"/>
      <c r="B19" s="221"/>
      <c r="C19" s="11">
        <v>1</v>
      </c>
      <c r="D19" s="11">
        <v>2</v>
      </c>
      <c r="E19" s="11">
        <v>3</v>
      </c>
      <c r="F19" s="11">
        <v>4</v>
      </c>
      <c r="G19" s="11">
        <v>5</v>
      </c>
      <c r="H19" s="11">
        <v>6</v>
      </c>
      <c r="I19" s="11">
        <v>7</v>
      </c>
      <c r="J19" s="11">
        <v>8</v>
      </c>
      <c r="K19" s="11">
        <v>9</v>
      </c>
      <c r="L19" s="11">
        <v>10</v>
      </c>
      <c r="M19" s="11">
        <v>11</v>
      </c>
      <c r="N19" s="11">
        <v>12</v>
      </c>
    </row>
    <row r="20" spans="1:18" ht="35.25" customHeight="1">
      <c r="A20" s="1085" t="s">
        <v>486</v>
      </c>
      <c r="B20" s="1086"/>
      <c r="C20" s="297">
        <f>+C41</f>
        <v>1</v>
      </c>
      <c r="D20" s="297">
        <f t="shared" ref="D20:N20" si="0">+D41</f>
        <v>1</v>
      </c>
      <c r="E20" s="297">
        <f t="shared" si="0"/>
        <v>1</v>
      </c>
      <c r="F20" s="297">
        <f t="shared" si="0"/>
        <v>1</v>
      </c>
      <c r="G20" s="297">
        <f t="shared" si="0"/>
        <v>1</v>
      </c>
      <c r="H20" s="297">
        <f t="shared" si="0"/>
        <v>1</v>
      </c>
      <c r="I20" s="297">
        <v>0</v>
      </c>
      <c r="J20" s="297">
        <f t="shared" si="0"/>
        <v>0</v>
      </c>
      <c r="K20" s="297">
        <f t="shared" si="0"/>
        <v>0</v>
      </c>
      <c r="L20" s="297">
        <f>+L41</f>
        <v>0</v>
      </c>
      <c r="M20" s="297">
        <f>+M41</f>
        <v>0</v>
      </c>
      <c r="N20" s="297">
        <f t="shared" si="0"/>
        <v>0</v>
      </c>
      <c r="O20" s="244"/>
    </row>
    <row r="21" spans="1:18" ht="42" customHeight="1">
      <c r="A21" s="1083" t="s">
        <v>485</v>
      </c>
      <c r="B21" s="1084"/>
      <c r="C21" s="320">
        <v>0.96</v>
      </c>
      <c r="D21" s="320">
        <v>0.96</v>
      </c>
      <c r="E21" s="320">
        <v>0.96</v>
      </c>
      <c r="F21" s="320">
        <v>0.96</v>
      </c>
      <c r="G21" s="320">
        <v>0.96</v>
      </c>
      <c r="H21" s="320">
        <v>0.96</v>
      </c>
      <c r="I21" s="320">
        <v>0.96</v>
      </c>
      <c r="J21" s="320">
        <v>0.96</v>
      </c>
      <c r="K21" s="320">
        <v>0.96</v>
      </c>
      <c r="L21" s="320">
        <v>0.96</v>
      </c>
      <c r="M21" s="320">
        <v>0.96</v>
      </c>
      <c r="N21" s="320">
        <v>0.96</v>
      </c>
    </row>
    <row r="22" spans="1:18" s="19" customFormat="1" ht="203.25" customHeight="1">
      <c r="A22" s="1087" t="s">
        <v>144</v>
      </c>
      <c r="B22" s="1088"/>
      <c r="C22" s="1088"/>
      <c r="D22" s="1088"/>
      <c r="E22" s="1088"/>
      <c r="F22" s="1088"/>
      <c r="G22" s="1088"/>
      <c r="H22" s="1088"/>
      <c r="I22" s="1088"/>
      <c r="J22" s="1088"/>
      <c r="K22" s="1088"/>
      <c r="L22" s="1088"/>
      <c r="M22" s="1088"/>
      <c r="N22" s="1089"/>
      <c r="Q22" s="4"/>
      <c r="R22" s="4"/>
    </row>
    <row r="23" spans="1:18" ht="12" customHeight="1"/>
    <row r="24" spans="1:18" ht="25.5" customHeight="1">
      <c r="A24" s="558" t="s">
        <v>667</v>
      </c>
      <c r="B24" s="908" t="s">
        <v>145</v>
      </c>
      <c r="C24" s="908"/>
      <c r="D24" s="908"/>
      <c r="E24" s="908"/>
      <c r="F24" s="909"/>
      <c r="G24" s="911" t="s">
        <v>146</v>
      </c>
      <c r="H24" s="908"/>
      <c r="I24" s="908"/>
      <c r="J24" s="908"/>
      <c r="K24" s="908"/>
      <c r="L24" s="908"/>
      <c r="M24" s="908"/>
      <c r="N24" s="909"/>
    </row>
    <row r="25" spans="1:18" s="19" customFormat="1" ht="25.5" customHeight="1">
      <c r="A25" s="358" t="str">
        <f>+IF(C19&gt;0,C18,"")</f>
        <v>ene</v>
      </c>
      <c r="B25" s="900" t="s">
        <v>666</v>
      </c>
      <c r="C25" s="900"/>
      <c r="D25" s="900"/>
      <c r="E25" s="900"/>
      <c r="F25" s="901"/>
      <c r="G25" s="902" t="s">
        <v>663</v>
      </c>
      <c r="H25" s="903"/>
      <c r="I25" s="903"/>
      <c r="J25" s="903"/>
      <c r="K25" s="903"/>
      <c r="L25" s="903"/>
      <c r="M25" s="903"/>
      <c r="N25" s="904"/>
    </row>
    <row r="26" spans="1:18" s="19" customFormat="1" ht="25.5" customHeight="1">
      <c r="A26" s="359" t="str">
        <f>+IF(D19&gt;0,D18,"")</f>
        <v>feb</v>
      </c>
      <c r="B26" s="917" t="s">
        <v>666</v>
      </c>
      <c r="C26" s="915"/>
      <c r="D26" s="915"/>
      <c r="E26" s="915"/>
      <c r="F26" s="916"/>
      <c r="G26" s="917" t="s">
        <v>663</v>
      </c>
      <c r="H26" s="915"/>
      <c r="I26" s="915"/>
      <c r="J26" s="915"/>
      <c r="K26" s="915"/>
      <c r="L26" s="915"/>
      <c r="M26" s="915"/>
      <c r="N26" s="916"/>
    </row>
    <row r="27" spans="1:18" s="19" customFormat="1" ht="25.5" customHeight="1">
      <c r="A27" s="359" t="str">
        <f>+IF(E19&gt;0,E18,"")</f>
        <v>mar</v>
      </c>
      <c r="B27" s="917" t="s">
        <v>666</v>
      </c>
      <c r="C27" s="915"/>
      <c r="D27" s="915"/>
      <c r="E27" s="915"/>
      <c r="F27" s="916"/>
      <c r="G27" s="917" t="s">
        <v>663</v>
      </c>
      <c r="H27" s="915"/>
      <c r="I27" s="915"/>
      <c r="J27" s="915"/>
      <c r="K27" s="915"/>
      <c r="L27" s="915"/>
      <c r="M27" s="915"/>
      <c r="N27" s="916"/>
    </row>
    <row r="28" spans="1:18" s="19" customFormat="1" ht="25.5" customHeight="1">
      <c r="A28" s="359" t="str">
        <f>+IF(F19&gt;0,F18,"")</f>
        <v>abr</v>
      </c>
      <c r="B28" s="914" t="s">
        <v>666</v>
      </c>
      <c r="C28" s="915"/>
      <c r="D28" s="915"/>
      <c r="E28" s="915"/>
      <c r="F28" s="916"/>
      <c r="G28" s="917" t="s">
        <v>663</v>
      </c>
      <c r="H28" s="915"/>
      <c r="I28" s="915"/>
      <c r="J28" s="915"/>
      <c r="K28" s="915"/>
      <c r="L28" s="915"/>
      <c r="M28" s="915"/>
      <c r="N28" s="916"/>
    </row>
    <row r="29" spans="1:18" s="19" customFormat="1" ht="25.5" customHeight="1">
      <c r="A29" s="359" t="str">
        <f>+IF(G19&gt;0,G18,"")</f>
        <v>may</v>
      </c>
      <c r="B29" s="914" t="s">
        <v>666</v>
      </c>
      <c r="C29" s="915"/>
      <c r="D29" s="915"/>
      <c r="E29" s="915"/>
      <c r="F29" s="916"/>
      <c r="G29" s="917" t="s">
        <v>663</v>
      </c>
      <c r="H29" s="915"/>
      <c r="I29" s="915"/>
      <c r="J29" s="915"/>
      <c r="K29" s="915"/>
      <c r="L29" s="915"/>
      <c r="M29" s="915"/>
      <c r="N29" s="916"/>
    </row>
    <row r="30" spans="1:18" s="19" customFormat="1" ht="25.5" customHeight="1">
      <c r="A30" s="359" t="str">
        <f>+IF(H19&gt;0,H18,"")</f>
        <v>jun</v>
      </c>
      <c r="B30" s="914" t="s">
        <v>666</v>
      </c>
      <c r="C30" s="915"/>
      <c r="D30" s="915"/>
      <c r="E30" s="915"/>
      <c r="F30" s="916"/>
      <c r="G30" s="917" t="s">
        <v>663</v>
      </c>
      <c r="H30" s="915"/>
      <c r="I30" s="915"/>
      <c r="J30" s="915"/>
      <c r="K30" s="915"/>
      <c r="L30" s="915"/>
      <c r="M30" s="915"/>
      <c r="N30" s="916"/>
    </row>
    <row r="31" spans="1:18" s="19" customFormat="1" ht="25.5" customHeight="1">
      <c r="A31" s="359" t="str">
        <f>+IF(I19&gt;0,I18,"")</f>
        <v>jul</v>
      </c>
      <c r="B31" s="914" t="s">
        <v>666</v>
      </c>
      <c r="C31" s="915"/>
      <c r="D31" s="915"/>
      <c r="E31" s="915"/>
      <c r="F31" s="916"/>
      <c r="G31" s="917" t="s">
        <v>663</v>
      </c>
      <c r="H31" s="915"/>
      <c r="I31" s="915"/>
      <c r="J31" s="915"/>
      <c r="K31" s="915"/>
      <c r="L31" s="915"/>
      <c r="M31" s="915"/>
      <c r="N31" s="916"/>
    </row>
    <row r="32" spans="1:18" s="19" customFormat="1" ht="25.5" customHeight="1">
      <c r="A32" s="359" t="str">
        <f>+IF(J19&gt;0,J18,"")</f>
        <v>ago</v>
      </c>
      <c r="B32" s="914" t="s">
        <v>666</v>
      </c>
      <c r="C32" s="915"/>
      <c r="D32" s="915"/>
      <c r="E32" s="915"/>
      <c r="F32" s="916"/>
      <c r="G32" s="917" t="s">
        <v>663</v>
      </c>
      <c r="H32" s="915"/>
      <c r="I32" s="915"/>
      <c r="J32" s="915"/>
      <c r="K32" s="915"/>
      <c r="L32" s="915"/>
      <c r="M32" s="915"/>
      <c r="N32" s="916"/>
    </row>
    <row r="33" spans="1:16" s="19" customFormat="1" ht="25.5" customHeight="1">
      <c r="A33" s="359" t="str">
        <f>+IF(K19&gt;0,K18,"")</f>
        <v>sep</v>
      </c>
      <c r="B33" s="914" t="s">
        <v>666</v>
      </c>
      <c r="C33" s="915"/>
      <c r="D33" s="915"/>
      <c r="E33" s="915"/>
      <c r="F33" s="916"/>
      <c r="G33" s="917" t="s">
        <v>663</v>
      </c>
      <c r="H33" s="915"/>
      <c r="I33" s="915"/>
      <c r="J33" s="915"/>
      <c r="K33" s="915"/>
      <c r="L33" s="915"/>
      <c r="M33" s="915"/>
      <c r="N33" s="916"/>
    </row>
    <row r="34" spans="1:16" s="19" customFormat="1" ht="25.5" customHeight="1">
      <c r="A34" s="359" t="str">
        <f>+IF(L19&gt;0,L18,"")</f>
        <v>oct</v>
      </c>
      <c r="B34" s="914"/>
      <c r="C34" s="915"/>
      <c r="D34" s="915"/>
      <c r="E34" s="915"/>
      <c r="F34" s="916"/>
      <c r="G34" s="917"/>
      <c r="H34" s="915"/>
      <c r="I34" s="915"/>
      <c r="J34" s="915"/>
      <c r="K34" s="915"/>
      <c r="L34" s="915"/>
      <c r="M34" s="915"/>
      <c r="N34" s="916"/>
    </row>
    <row r="35" spans="1:16" s="19" customFormat="1" ht="25.5" customHeight="1">
      <c r="A35" s="359" t="str">
        <f>+IF(M19&gt;0,M18,"")</f>
        <v>nov</v>
      </c>
      <c r="B35" s="914"/>
      <c r="C35" s="915"/>
      <c r="D35" s="915"/>
      <c r="E35" s="915"/>
      <c r="F35" s="916"/>
      <c r="G35" s="917"/>
      <c r="H35" s="915"/>
      <c r="I35" s="915"/>
      <c r="J35" s="915"/>
      <c r="K35" s="915"/>
      <c r="L35" s="915"/>
      <c r="M35" s="915"/>
      <c r="N35" s="916"/>
    </row>
    <row r="36" spans="1:16" s="19" customFormat="1" ht="25.5" customHeight="1">
      <c r="A36" s="360" t="str">
        <f>+IF(N19&gt;0,N18,"")</f>
        <v>dic</v>
      </c>
      <c r="B36" s="914"/>
      <c r="C36" s="915"/>
      <c r="D36" s="915"/>
      <c r="E36" s="915"/>
      <c r="F36" s="916"/>
      <c r="G36" s="917"/>
      <c r="H36" s="915"/>
      <c r="I36" s="915"/>
      <c r="J36" s="915"/>
      <c r="K36" s="915"/>
      <c r="L36" s="915"/>
      <c r="M36" s="915"/>
      <c r="N36" s="916"/>
    </row>
    <row r="38" spans="1:16">
      <c r="C38" s="222" t="s">
        <v>212</v>
      </c>
      <c r="D38" s="222" t="s">
        <v>213</v>
      </c>
      <c r="E38" s="222" t="s">
        <v>214</v>
      </c>
      <c r="F38" s="222" t="s">
        <v>215</v>
      </c>
      <c r="G38" s="222" t="s">
        <v>216</v>
      </c>
      <c r="H38" s="222" t="s">
        <v>217</v>
      </c>
      <c r="I38" s="222" t="s">
        <v>218</v>
      </c>
      <c r="J38" s="222" t="s">
        <v>219</v>
      </c>
      <c r="K38" s="222" t="s">
        <v>220</v>
      </c>
      <c r="L38" s="222" t="s">
        <v>221</v>
      </c>
      <c r="M38" s="222" t="s">
        <v>222</v>
      </c>
      <c r="N38" s="222" t="s">
        <v>223</v>
      </c>
    </row>
    <row r="39" spans="1:16">
      <c r="B39" s="223" t="s">
        <v>419</v>
      </c>
      <c r="C39" s="225">
        <f>+'Indice de Frecuencia'!C20</f>
        <v>1</v>
      </c>
      <c r="D39" s="225">
        <f>+'Indice de Frecuencia'!D20</f>
        <v>1</v>
      </c>
      <c r="E39" s="225">
        <f>+'Indice de Frecuencia'!E20</f>
        <v>1</v>
      </c>
      <c r="F39" s="225">
        <f>+'Indice de Frecuencia'!F20</f>
        <v>1</v>
      </c>
      <c r="G39" s="225">
        <f>+'Indice de Frecuencia'!G20</f>
        <v>1</v>
      </c>
      <c r="H39" s="225">
        <f>+'Indice de Frecuencia'!H20</f>
        <v>1</v>
      </c>
      <c r="I39" s="225">
        <f>+'Indice de Frecuencia'!I20</f>
        <v>1</v>
      </c>
      <c r="J39" s="225">
        <f>+'Indice de Frecuencia'!J20</f>
        <v>0</v>
      </c>
      <c r="K39" s="225">
        <f>+'Indice de Frecuencia'!K20</f>
        <v>0</v>
      </c>
      <c r="L39" s="225">
        <f>+'Indice de Frecuencia'!L20</f>
        <v>0</v>
      </c>
      <c r="M39" s="225">
        <f>+'Indice de Frecuencia'!M20</f>
        <v>0</v>
      </c>
      <c r="N39" s="225">
        <f>+'Indice de Frecuencia'!N20</f>
        <v>0</v>
      </c>
    </row>
    <row r="40" spans="1:16">
      <c r="B40" s="223" t="s">
        <v>420</v>
      </c>
      <c r="C40" s="559" t="str">
        <f>+'Indice de Severidad'!C20</f>
        <v>100%</v>
      </c>
      <c r="D40" s="559" t="str">
        <f>+'Indice de Severidad'!D20</f>
        <v>100%</v>
      </c>
      <c r="E40" s="559" t="str">
        <f>+'Indice de Severidad'!E20</f>
        <v>100%</v>
      </c>
      <c r="F40" s="559" t="str">
        <f>+'Indice de Severidad'!F20</f>
        <v>100%</v>
      </c>
      <c r="G40" s="559" t="str">
        <f>+'Indice de Severidad'!G20</f>
        <v>100%</v>
      </c>
      <c r="H40" s="559" t="str">
        <f>+'Indice de Severidad'!H20</f>
        <v>100%</v>
      </c>
      <c r="I40" s="621" t="str">
        <f>+'Indice de Severidad'!I47</f>
        <v>100%</v>
      </c>
      <c r="J40" s="559" t="str">
        <f>+'Indice de Severidad'!J20</f>
        <v>100%</v>
      </c>
      <c r="K40" s="559" t="str">
        <f>+'Indice de Severidad'!K20</f>
        <v>100%</v>
      </c>
      <c r="L40" s="559" t="str">
        <f>+'Indice de Severidad'!L20</f>
        <v>100%</v>
      </c>
      <c r="M40" s="559" t="str">
        <f>+'Indice de Severidad'!M20</f>
        <v>100%</v>
      </c>
      <c r="N40" s="559" t="str">
        <f>+'Indice de Severidad'!N20</f>
        <v>100%</v>
      </c>
    </row>
    <row r="41" spans="1:16">
      <c r="B41" s="223" t="s">
        <v>421</v>
      </c>
      <c r="C41" s="225">
        <f>C39*C40</f>
        <v>1</v>
      </c>
      <c r="D41" s="225">
        <f t="shared" ref="D41:N41" si="1">D39*D40</f>
        <v>1</v>
      </c>
      <c r="E41" s="225">
        <f t="shared" si="1"/>
        <v>1</v>
      </c>
      <c r="F41" s="225">
        <f t="shared" si="1"/>
        <v>1</v>
      </c>
      <c r="G41" s="225">
        <f t="shared" si="1"/>
        <v>1</v>
      </c>
      <c r="H41" s="225">
        <f t="shared" si="1"/>
        <v>1</v>
      </c>
      <c r="I41" s="622">
        <f t="shared" si="1"/>
        <v>1</v>
      </c>
      <c r="J41" s="225">
        <f t="shared" si="1"/>
        <v>0</v>
      </c>
      <c r="K41" s="225">
        <f t="shared" si="1"/>
        <v>0</v>
      </c>
      <c r="L41" s="225">
        <f t="shared" si="1"/>
        <v>0</v>
      </c>
      <c r="M41" s="225">
        <f t="shared" si="1"/>
        <v>0</v>
      </c>
      <c r="N41" s="225">
        <f t="shared" si="1"/>
        <v>0</v>
      </c>
      <c r="O41" s="1075" t="s">
        <v>639</v>
      </c>
      <c r="P41" s="1075"/>
    </row>
    <row r="42" spans="1:16">
      <c r="B42" s="224" t="s">
        <v>152</v>
      </c>
      <c r="C42" s="225">
        <f>IFERROR(IF(C41&lt;=C39,100%,0%),"")</f>
        <v>1</v>
      </c>
      <c r="D42" s="225">
        <f t="shared" ref="D42:K42" si="2">IFERROR(IF(D41&lt;=D39,100%,0%),"")</f>
        <v>1</v>
      </c>
      <c r="E42" s="225">
        <f t="shared" si="2"/>
        <v>1</v>
      </c>
      <c r="F42" s="225">
        <f t="shared" si="2"/>
        <v>1</v>
      </c>
      <c r="G42" s="225">
        <f t="shared" si="2"/>
        <v>1</v>
      </c>
      <c r="H42" s="225">
        <f t="shared" si="2"/>
        <v>1</v>
      </c>
      <c r="I42" s="622">
        <f t="shared" si="2"/>
        <v>1</v>
      </c>
      <c r="J42" s="225">
        <f t="shared" si="2"/>
        <v>1</v>
      </c>
      <c r="K42" s="225">
        <f t="shared" si="2"/>
        <v>1</v>
      </c>
      <c r="L42" s="225">
        <f>IFERROR(IF(L41&lt;=L39,100%,0%),"")</f>
        <v>1</v>
      </c>
      <c r="M42" s="225">
        <f>IFERROR(IF(M41&lt;=M39,100%,0%),"")</f>
        <v>1</v>
      </c>
      <c r="N42" s="225">
        <f>IFERROR(IF(N41&lt;=N39,100%,0%),"")</f>
        <v>1</v>
      </c>
      <c r="O42" s="233">
        <f>AVERAGE(C42:N42)</f>
        <v>1</v>
      </c>
    </row>
  </sheetData>
  <sheetProtection formatCells="0" formatColumns="0" formatRows="0"/>
  <mergeCells count="50">
    <mergeCell ref="O41:P41"/>
    <mergeCell ref="B28:F28"/>
    <mergeCell ref="G28:N28"/>
    <mergeCell ref="B29:F29"/>
    <mergeCell ref="G29:N29"/>
    <mergeCell ref="B30:F30"/>
    <mergeCell ref="G30:N30"/>
    <mergeCell ref="B35:F35"/>
    <mergeCell ref="G35:N35"/>
    <mergeCell ref="B36:F36"/>
    <mergeCell ref="G36:N36"/>
    <mergeCell ref="B31:F31"/>
    <mergeCell ref="G31:N31"/>
    <mergeCell ref="B32:F32"/>
    <mergeCell ref="G32:N32"/>
    <mergeCell ref="B33:F33"/>
    <mergeCell ref="G33:N33"/>
    <mergeCell ref="B34:F34"/>
    <mergeCell ref="G34:N34"/>
    <mergeCell ref="A18:B18"/>
    <mergeCell ref="G27:N27"/>
    <mergeCell ref="B25:F25"/>
    <mergeCell ref="G25:N25"/>
    <mergeCell ref="B26:F26"/>
    <mergeCell ref="G26:N26"/>
    <mergeCell ref="B27:F27"/>
    <mergeCell ref="C6:N6"/>
    <mergeCell ref="C7:N7"/>
    <mergeCell ref="C9:N9"/>
    <mergeCell ref="C12:N12"/>
    <mergeCell ref="B24:F24"/>
    <mergeCell ref="G24:N24"/>
    <mergeCell ref="A21:B21"/>
    <mergeCell ref="A20:B20"/>
    <mergeCell ref="A22:N22"/>
    <mergeCell ref="A16:B16"/>
    <mergeCell ref="A13:B13"/>
    <mergeCell ref="C13:N13"/>
    <mergeCell ref="C14:N14"/>
    <mergeCell ref="C15:N15"/>
    <mergeCell ref="C16:N16"/>
    <mergeCell ref="A1:J4"/>
    <mergeCell ref="K1:L1"/>
    <mergeCell ref="M1:N1"/>
    <mergeCell ref="K2:L2"/>
    <mergeCell ref="M2:N2"/>
    <mergeCell ref="K3:L3"/>
    <mergeCell ref="M3:N3"/>
    <mergeCell ref="K4:L4"/>
    <mergeCell ref="M4:N4"/>
  </mergeCells>
  <hyperlinks>
    <hyperlink ref="O5" location="'Matriz Sta Ana'!A1" display="Volver" xr:uid="{5024A28B-6FED-44A5-A599-AEAC9AAA1FC9}"/>
  </hyperlinks>
  <pageMargins left="0.7" right="0.7" top="0.75" bottom="0.75" header="0.3" footer="0.3"/>
  <pageSetup scale="66" fitToHeight="0" orientation="portrait" r:id="rId1"/>
  <rowBreaks count="1" manualBreakCount="1">
    <brk id="21" max="13" man="1"/>
  </rowBreaks>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ECEA4F-039B-4953-8B5E-E030571ECF03}">
  <sheetPr>
    <tabColor rgb="FFFFFFCC"/>
    <pageSetUpPr fitToPage="1"/>
  </sheetPr>
  <dimension ref="A1:R47"/>
  <sheetViews>
    <sheetView view="pageBreakPreview" topLeftCell="A25" zoomScale="90" zoomScaleNormal="100" zoomScaleSheetLayoutView="90" workbookViewId="0">
      <selection activeCell="P32" sqref="P32"/>
    </sheetView>
  </sheetViews>
  <sheetFormatPr baseColWidth="10" defaultColWidth="11.42578125" defaultRowHeight="16.5"/>
  <cols>
    <col min="1" max="1" width="7.42578125" style="5" customWidth="1"/>
    <col min="2" max="2" width="33.5703125" style="5" customWidth="1"/>
    <col min="3" max="3" width="9.5703125" style="4" customWidth="1"/>
    <col min="4" max="4" width="10.42578125" style="4" bestFit="1" customWidth="1"/>
    <col min="5" max="5" width="8" style="4" customWidth="1"/>
    <col min="6" max="6" width="7.140625" style="4" customWidth="1"/>
    <col min="7" max="7" width="8.5703125" style="4" customWidth="1"/>
    <col min="8" max="14" width="7.140625" style="4" customWidth="1"/>
    <col min="15" max="15" width="9.5703125" style="4" customWidth="1"/>
    <col min="16" max="16384" width="11.42578125" style="4"/>
  </cols>
  <sheetData>
    <row r="1" spans="1:18" ht="21.75" customHeight="1">
      <c r="A1" s="719" t="s">
        <v>113</v>
      </c>
      <c r="B1" s="720"/>
      <c r="C1" s="720"/>
      <c r="D1" s="720"/>
      <c r="E1" s="720"/>
      <c r="F1" s="720"/>
      <c r="G1" s="720"/>
      <c r="H1" s="720"/>
      <c r="I1" s="720"/>
      <c r="J1" s="721"/>
      <c r="K1" s="728" t="s">
        <v>114</v>
      </c>
      <c r="L1" s="729"/>
      <c r="M1" s="728"/>
      <c r="N1" s="729"/>
    </row>
    <row r="2" spans="1:18" ht="21.75" customHeight="1">
      <c r="A2" s="722"/>
      <c r="B2" s="723"/>
      <c r="C2" s="723"/>
      <c r="D2" s="723"/>
      <c r="E2" s="723"/>
      <c r="F2" s="723"/>
      <c r="G2" s="723"/>
      <c r="H2" s="723"/>
      <c r="I2" s="723"/>
      <c r="J2" s="724"/>
      <c r="K2" s="728" t="s">
        <v>115</v>
      </c>
      <c r="L2" s="729"/>
      <c r="M2" s="728">
        <v>0</v>
      </c>
      <c r="N2" s="729"/>
    </row>
    <row r="3" spans="1:18" ht="21.75" customHeight="1">
      <c r="A3" s="722"/>
      <c r="B3" s="723"/>
      <c r="C3" s="723"/>
      <c r="D3" s="723"/>
      <c r="E3" s="723"/>
      <c r="F3" s="723"/>
      <c r="G3" s="723"/>
      <c r="H3" s="723"/>
      <c r="I3" s="723"/>
      <c r="J3" s="724"/>
      <c r="K3" s="728" t="s">
        <v>116</v>
      </c>
      <c r="L3" s="729"/>
      <c r="M3" s="732">
        <v>43464</v>
      </c>
      <c r="N3" s="733"/>
    </row>
    <row r="4" spans="1:18" ht="21.75" customHeight="1">
      <c r="A4" s="725"/>
      <c r="B4" s="726"/>
      <c r="C4" s="726"/>
      <c r="D4" s="726"/>
      <c r="E4" s="726"/>
      <c r="F4" s="726"/>
      <c r="G4" s="726"/>
      <c r="H4" s="726"/>
      <c r="I4" s="726"/>
      <c r="J4" s="727"/>
      <c r="K4" s="728" t="s">
        <v>117</v>
      </c>
      <c r="L4" s="729"/>
      <c r="M4" s="732" t="s">
        <v>118</v>
      </c>
      <c r="N4" s="733"/>
    </row>
    <row r="5" spans="1:18" ht="27.75" customHeight="1">
      <c r="A5" s="256"/>
      <c r="B5" s="256"/>
      <c r="C5" s="280"/>
      <c r="D5" s="280"/>
      <c r="E5" s="280"/>
      <c r="F5" s="280"/>
      <c r="G5" s="280"/>
      <c r="H5" s="280"/>
      <c r="I5" s="280"/>
      <c r="J5" s="280"/>
      <c r="K5" s="280"/>
      <c r="L5" s="280"/>
      <c r="M5" s="281"/>
      <c r="N5" s="282" t="s">
        <v>119</v>
      </c>
      <c r="O5" s="52" t="s">
        <v>120</v>
      </c>
    </row>
    <row r="6" spans="1:18" ht="21" customHeight="1">
      <c r="A6" s="256" t="s">
        <v>121</v>
      </c>
      <c r="B6" s="256"/>
      <c r="C6" s="887" t="s">
        <v>503</v>
      </c>
      <c r="D6" s="887"/>
      <c r="E6" s="887"/>
      <c r="F6" s="887"/>
      <c r="G6" s="887"/>
      <c r="H6" s="887"/>
      <c r="I6" s="887"/>
      <c r="J6" s="887"/>
      <c r="K6" s="887"/>
      <c r="L6" s="887"/>
      <c r="M6" s="887"/>
      <c r="N6" s="887"/>
    </row>
    <row r="7" spans="1:18" ht="33.75" customHeight="1">
      <c r="A7" s="256" t="s">
        <v>3</v>
      </c>
      <c r="B7" s="256"/>
      <c r="C7" s="888" t="s">
        <v>504</v>
      </c>
      <c r="D7" s="888"/>
      <c r="E7" s="888"/>
      <c r="F7" s="888"/>
      <c r="G7" s="888"/>
      <c r="H7" s="888"/>
      <c r="I7" s="888"/>
      <c r="J7" s="888"/>
      <c r="K7" s="888"/>
      <c r="L7" s="888"/>
      <c r="M7" s="888"/>
      <c r="N7" s="888"/>
    </row>
    <row r="8" spans="1:18">
      <c r="A8" s="256" t="s">
        <v>122</v>
      </c>
      <c r="B8" s="256"/>
      <c r="C8" s="1040" t="s">
        <v>123</v>
      </c>
      <c r="D8" s="1040"/>
      <c r="E8" s="1040"/>
      <c r="F8" s="1040"/>
      <c r="G8" s="1040"/>
      <c r="H8" s="257"/>
      <c r="I8" s="257"/>
      <c r="J8" s="257"/>
      <c r="K8" s="257"/>
      <c r="L8" s="257"/>
      <c r="M8" s="257"/>
      <c r="N8" s="257"/>
    </row>
    <row r="9" spans="1:18" ht="20.25" customHeight="1">
      <c r="A9" s="256" t="s">
        <v>124</v>
      </c>
      <c r="B9" s="256"/>
      <c r="C9" s="889" t="s">
        <v>516</v>
      </c>
      <c r="D9" s="890"/>
      <c r="E9" s="890"/>
      <c r="F9" s="890"/>
      <c r="G9" s="890"/>
      <c r="H9" s="890"/>
      <c r="I9" s="890"/>
      <c r="J9" s="890"/>
      <c r="K9" s="890"/>
      <c r="L9" s="890"/>
      <c r="M9" s="890"/>
      <c r="N9" s="890"/>
    </row>
    <row r="10" spans="1:18">
      <c r="A10" s="256" t="s">
        <v>5</v>
      </c>
      <c r="B10" s="256"/>
      <c r="C10" s="258" t="s">
        <v>499</v>
      </c>
      <c r="D10" s="258"/>
      <c r="E10" s="258"/>
      <c r="F10" s="258"/>
      <c r="G10" s="258"/>
      <c r="H10" s="258"/>
      <c r="I10" s="258"/>
      <c r="J10" s="258"/>
      <c r="K10" s="258"/>
      <c r="L10" s="258"/>
      <c r="M10" s="258"/>
      <c r="N10" s="258"/>
      <c r="R10" s="157"/>
    </row>
    <row r="11" spans="1:18">
      <c r="A11" s="256" t="s">
        <v>6</v>
      </c>
      <c r="B11" s="256"/>
      <c r="C11" s="258" t="s">
        <v>396</v>
      </c>
      <c r="D11" s="258"/>
      <c r="E11" s="258"/>
      <c r="F11" s="258"/>
      <c r="G11" s="258"/>
      <c r="H11" s="258"/>
      <c r="I11" s="258"/>
      <c r="J11" s="258"/>
      <c r="K11" s="258"/>
      <c r="L11" s="258"/>
      <c r="M11" s="258"/>
      <c r="N11" s="258"/>
      <c r="R11" s="157"/>
    </row>
    <row r="12" spans="1:18" ht="15.75" customHeight="1">
      <c r="A12" s="256" t="s">
        <v>7</v>
      </c>
      <c r="B12" s="256"/>
      <c r="C12" s="888" t="s">
        <v>502</v>
      </c>
      <c r="D12" s="888"/>
      <c r="E12" s="888"/>
      <c r="F12" s="888"/>
      <c r="G12" s="888"/>
      <c r="H12" s="888"/>
      <c r="I12" s="888"/>
      <c r="J12" s="888"/>
      <c r="K12" s="888"/>
      <c r="L12" s="888"/>
      <c r="M12" s="888"/>
      <c r="N12" s="888"/>
    </row>
    <row r="13" spans="1:18" ht="30" customHeight="1">
      <c r="A13" s="891" t="s">
        <v>125</v>
      </c>
      <c r="B13" s="891"/>
      <c r="C13" s="888" t="s">
        <v>369</v>
      </c>
      <c r="D13" s="888"/>
      <c r="E13" s="888"/>
      <c r="F13" s="888"/>
      <c r="G13" s="888"/>
      <c r="H13" s="888"/>
      <c r="I13" s="888"/>
      <c r="J13" s="888"/>
      <c r="K13" s="888"/>
      <c r="L13" s="888"/>
      <c r="M13" s="888"/>
      <c r="N13" s="888"/>
    </row>
    <row r="14" spans="1:18" ht="18.75" customHeight="1">
      <c r="A14" s="256" t="s">
        <v>127</v>
      </c>
      <c r="B14" s="256"/>
      <c r="C14" s="888" t="s">
        <v>525</v>
      </c>
      <c r="D14" s="888"/>
      <c r="E14" s="888"/>
      <c r="F14" s="888"/>
      <c r="G14" s="888"/>
      <c r="H14" s="888"/>
      <c r="I14" s="888"/>
      <c r="J14" s="888"/>
      <c r="K14" s="888"/>
      <c r="L14" s="888"/>
      <c r="M14" s="888"/>
      <c r="N14" s="888"/>
    </row>
    <row r="15" spans="1:18" ht="19.5" customHeight="1">
      <c r="A15" s="256" t="s">
        <v>10</v>
      </c>
      <c r="B15" s="256"/>
      <c r="C15" s="895" t="s">
        <v>357</v>
      </c>
      <c r="D15" s="895"/>
      <c r="E15" s="895"/>
      <c r="F15" s="895"/>
      <c r="G15" s="895"/>
      <c r="H15" s="895"/>
      <c r="I15" s="895"/>
      <c r="J15" s="895"/>
      <c r="K15" s="895"/>
      <c r="L15" s="895"/>
      <c r="M15" s="895"/>
      <c r="N15" s="895"/>
    </row>
    <row r="16" spans="1:18" ht="20.25" customHeight="1">
      <c r="A16" s="886" t="s">
        <v>443</v>
      </c>
      <c r="B16" s="886"/>
      <c r="C16" s="708"/>
      <c r="D16" s="709"/>
      <c r="E16" s="709"/>
      <c r="F16" s="709"/>
      <c r="G16" s="709"/>
      <c r="H16" s="709"/>
      <c r="I16" s="709"/>
      <c r="J16" s="709"/>
      <c r="K16" s="709"/>
      <c r="L16" s="709"/>
      <c r="M16" s="709"/>
      <c r="N16" s="709"/>
      <c r="P16" s="415"/>
    </row>
    <row r="17" spans="1:14" ht="15" customHeight="1">
      <c r="A17" s="283"/>
      <c r="B17" s="283"/>
      <c r="C17" s="284"/>
      <c r="D17" s="284"/>
      <c r="E17" s="284"/>
      <c r="F17" s="284"/>
      <c r="G17" s="284"/>
      <c r="H17" s="284"/>
      <c r="I17" s="284"/>
      <c r="J17" s="256"/>
      <c r="K17" s="256"/>
      <c r="L17" s="256"/>
      <c r="M17" s="256"/>
      <c r="N17" s="256"/>
    </row>
    <row r="18" spans="1:14" ht="14.45" customHeight="1">
      <c r="A18" s="1045" t="s">
        <v>129</v>
      </c>
      <c r="B18" s="1046"/>
      <c r="C18" s="403" t="s">
        <v>130</v>
      </c>
      <c r="D18" s="403" t="s">
        <v>131</v>
      </c>
      <c r="E18" s="403" t="s">
        <v>132</v>
      </c>
      <c r="F18" s="403" t="s">
        <v>133</v>
      </c>
      <c r="G18" s="403" t="s">
        <v>134</v>
      </c>
      <c r="H18" s="403" t="s">
        <v>135</v>
      </c>
      <c r="I18" s="403" t="s">
        <v>136</v>
      </c>
      <c r="J18" s="403" t="s">
        <v>137</v>
      </c>
      <c r="K18" s="403" t="s">
        <v>138</v>
      </c>
      <c r="L18" s="403" t="s">
        <v>139</v>
      </c>
      <c r="M18" s="403" t="s">
        <v>140</v>
      </c>
      <c r="N18" s="403" t="s">
        <v>141</v>
      </c>
    </row>
    <row r="19" spans="1:14">
      <c r="A19" s="1047"/>
      <c r="B19" s="1048"/>
      <c r="C19" s="404">
        <v>1</v>
      </c>
      <c r="D19" s="404">
        <v>2</v>
      </c>
      <c r="E19" s="404">
        <v>3</v>
      </c>
      <c r="F19" s="404">
        <v>4</v>
      </c>
      <c r="G19" s="404">
        <v>5</v>
      </c>
      <c r="H19" s="404">
        <v>6</v>
      </c>
      <c r="I19" s="404">
        <v>7</v>
      </c>
      <c r="J19" s="404">
        <v>8</v>
      </c>
      <c r="K19" s="404">
        <v>9</v>
      </c>
      <c r="L19" s="404">
        <v>10</v>
      </c>
      <c r="M19" s="404">
        <v>11</v>
      </c>
      <c r="N19" s="404">
        <v>12</v>
      </c>
    </row>
    <row r="20" spans="1:14" ht="37.5" customHeight="1">
      <c r="A20" s="1049" t="s">
        <v>486</v>
      </c>
      <c r="B20" s="1050"/>
      <c r="C20" s="405">
        <f>+C44</f>
        <v>1</v>
      </c>
      <c r="D20" s="405">
        <f t="shared" ref="D20:H20" si="0">+D44</f>
        <v>1</v>
      </c>
      <c r="E20" s="405">
        <f t="shared" si="0"/>
        <v>1</v>
      </c>
      <c r="F20" s="405">
        <f t="shared" si="0"/>
        <v>1</v>
      </c>
      <c r="G20" s="405">
        <f t="shared" si="0"/>
        <v>1</v>
      </c>
      <c r="H20" s="405">
        <f t="shared" si="0"/>
        <v>1</v>
      </c>
      <c r="I20" s="405">
        <f t="shared" ref="I20:N20" si="1">+I44</f>
        <v>1</v>
      </c>
      <c r="J20" s="405" t="e">
        <f t="shared" si="1"/>
        <v>#VALUE!</v>
      </c>
      <c r="K20" s="405" t="e">
        <f t="shared" si="1"/>
        <v>#VALUE!</v>
      </c>
      <c r="L20" s="405" t="e">
        <f t="shared" si="1"/>
        <v>#VALUE!</v>
      </c>
      <c r="M20" s="405" t="e">
        <f t="shared" si="1"/>
        <v>#VALUE!</v>
      </c>
      <c r="N20" s="405" t="e">
        <f t="shared" si="1"/>
        <v>#VALUE!</v>
      </c>
    </row>
    <row r="21" spans="1:14" ht="42" customHeight="1">
      <c r="A21" s="1043" t="s">
        <v>485</v>
      </c>
      <c r="B21" s="1044"/>
      <c r="C21" s="406">
        <v>1</v>
      </c>
      <c r="D21" s="406">
        <v>1</v>
      </c>
      <c r="E21" s="406">
        <v>1</v>
      </c>
      <c r="F21" s="406">
        <v>1</v>
      </c>
      <c r="G21" s="406">
        <v>1</v>
      </c>
      <c r="H21" s="406">
        <v>1</v>
      </c>
      <c r="I21" s="406">
        <v>1</v>
      </c>
      <c r="J21" s="406">
        <v>1</v>
      </c>
      <c r="K21" s="406">
        <v>1</v>
      </c>
      <c r="L21" s="406">
        <v>1</v>
      </c>
      <c r="M21" s="406">
        <v>1</v>
      </c>
      <c r="N21" s="406">
        <v>1</v>
      </c>
    </row>
    <row r="22" spans="1:14" s="19" customFormat="1" ht="150.75" customHeight="1">
      <c r="A22" s="1041" t="s">
        <v>487</v>
      </c>
      <c r="B22" s="1042"/>
      <c r="C22" s="407"/>
      <c r="D22" s="407"/>
      <c r="E22" s="407"/>
      <c r="F22" s="407"/>
      <c r="G22" s="407"/>
      <c r="H22" s="407"/>
      <c r="I22" s="407"/>
      <c r="J22" s="407"/>
      <c r="K22" s="407"/>
      <c r="L22" s="407"/>
      <c r="M22" s="407"/>
      <c r="N22" s="408"/>
    </row>
    <row r="23" spans="1:14" ht="7.5" customHeight="1">
      <c r="A23" s="256"/>
      <c r="B23" s="256"/>
      <c r="C23" s="280"/>
      <c r="D23" s="280"/>
      <c r="E23" s="280"/>
      <c r="F23" s="280"/>
      <c r="G23" s="280"/>
      <c r="H23" s="280"/>
      <c r="I23" s="280"/>
      <c r="J23" s="280"/>
      <c r="K23" s="280"/>
      <c r="L23" s="280"/>
      <c r="M23" s="280"/>
      <c r="N23" s="280"/>
    </row>
    <row r="24" spans="1:14" ht="25.5" customHeight="1">
      <c r="A24" s="558" t="s">
        <v>667</v>
      </c>
      <c r="B24" s="908" t="s">
        <v>145</v>
      </c>
      <c r="C24" s="908"/>
      <c r="D24" s="908"/>
      <c r="E24" s="908"/>
      <c r="F24" s="909"/>
      <c r="G24" s="911" t="s">
        <v>146</v>
      </c>
      <c r="H24" s="908"/>
      <c r="I24" s="908"/>
      <c r="J24" s="908"/>
      <c r="K24" s="908"/>
      <c r="L24" s="908"/>
      <c r="M24" s="908"/>
      <c r="N24" s="909"/>
    </row>
    <row r="25" spans="1:14" ht="25.5" customHeight="1">
      <c r="A25" s="358" t="str">
        <f>+IF(C19&gt;0,C18,"")</f>
        <v>ene</v>
      </c>
      <c r="B25" s="900" t="s">
        <v>675</v>
      </c>
      <c r="C25" s="900"/>
      <c r="D25" s="900"/>
      <c r="E25" s="900"/>
      <c r="F25" s="901"/>
      <c r="G25" s="902" t="s">
        <v>663</v>
      </c>
      <c r="H25" s="903"/>
      <c r="I25" s="903"/>
      <c r="J25" s="903"/>
      <c r="K25" s="903"/>
      <c r="L25" s="903"/>
      <c r="M25" s="903"/>
      <c r="N25" s="904"/>
    </row>
    <row r="26" spans="1:14" s="19" customFormat="1" ht="28.5" customHeight="1">
      <c r="A26" s="359" t="str">
        <f>+IF(D19&gt;0,D18,"")</f>
        <v>feb</v>
      </c>
      <c r="B26" s="900" t="s">
        <v>675</v>
      </c>
      <c r="C26" s="900"/>
      <c r="D26" s="900"/>
      <c r="E26" s="900"/>
      <c r="F26" s="901"/>
      <c r="G26" s="917" t="s">
        <v>663</v>
      </c>
      <c r="H26" s="915"/>
      <c r="I26" s="915"/>
      <c r="J26" s="915"/>
      <c r="K26" s="915"/>
      <c r="L26" s="915"/>
      <c r="M26" s="915"/>
      <c r="N26" s="916"/>
    </row>
    <row r="27" spans="1:14" s="203" customFormat="1" ht="27" customHeight="1">
      <c r="A27" s="359" t="str">
        <f>+IF(E19&gt;0,E18,"")</f>
        <v>mar</v>
      </c>
      <c r="B27" s="900" t="s">
        <v>675</v>
      </c>
      <c r="C27" s="900"/>
      <c r="D27" s="900"/>
      <c r="E27" s="900"/>
      <c r="F27" s="901"/>
      <c r="G27" s="917" t="s">
        <v>663</v>
      </c>
      <c r="H27" s="915"/>
      <c r="I27" s="915"/>
      <c r="J27" s="915"/>
      <c r="K27" s="915"/>
      <c r="L27" s="915"/>
      <c r="M27" s="915"/>
      <c r="N27" s="916"/>
    </row>
    <row r="28" spans="1:14" s="19" customFormat="1" ht="30" customHeight="1">
      <c r="A28" s="359" t="str">
        <f>+IF(F19&gt;0,F18,"")</f>
        <v>abr</v>
      </c>
      <c r="B28" s="900" t="s">
        <v>675</v>
      </c>
      <c r="C28" s="900"/>
      <c r="D28" s="900"/>
      <c r="E28" s="900"/>
      <c r="F28" s="901"/>
      <c r="G28" s="917" t="s">
        <v>663</v>
      </c>
      <c r="H28" s="915"/>
      <c r="I28" s="915"/>
      <c r="J28" s="915"/>
      <c r="K28" s="915"/>
      <c r="L28" s="915"/>
      <c r="M28" s="915"/>
      <c r="N28" s="916"/>
    </row>
    <row r="29" spans="1:14" s="19" customFormat="1" ht="30" customHeight="1">
      <c r="A29" s="359" t="str">
        <f>+IF(G19&gt;0,G18,"")</f>
        <v>may</v>
      </c>
      <c r="B29" s="914" t="s">
        <v>675</v>
      </c>
      <c r="C29" s="915"/>
      <c r="D29" s="915"/>
      <c r="E29" s="915"/>
      <c r="F29" s="916"/>
      <c r="G29" s="917" t="s">
        <v>663</v>
      </c>
      <c r="H29" s="915"/>
      <c r="I29" s="915"/>
      <c r="J29" s="915"/>
      <c r="K29" s="915"/>
      <c r="L29" s="915"/>
      <c r="M29" s="915"/>
      <c r="N29" s="916"/>
    </row>
    <row r="30" spans="1:14" s="19" customFormat="1" ht="28.5" customHeight="1">
      <c r="A30" s="359" t="str">
        <f>+IF(H19&gt;0,H18,"")</f>
        <v>jun</v>
      </c>
      <c r="B30" s="914" t="s">
        <v>675</v>
      </c>
      <c r="C30" s="915"/>
      <c r="D30" s="915"/>
      <c r="E30" s="915"/>
      <c r="F30" s="916"/>
      <c r="G30" s="917" t="s">
        <v>663</v>
      </c>
      <c r="H30" s="915"/>
      <c r="I30" s="915"/>
      <c r="J30" s="915"/>
      <c r="K30" s="915"/>
      <c r="L30" s="915"/>
      <c r="M30" s="915"/>
      <c r="N30" s="916"/>
    </row>
    <row r="31" spans="1:14" s="19" customFormat="1" ht="34.5" customHeight="1">
      <c r="A31" s="359" t="str">
        <f>+IF(I19&gt;0,I18,"")</f>
        <v>jul</v>
      </c>
      <c r="B31" s="914" t="s">
        <v>675</v>
      </c>
      <c r="C31" s="915"/>
      <c r="D31" s="915"/>
      <c r="E31" s="915"/>
      <c r="F31" s="916"/>
      <c r="G31" s="917" t="s">
        <v>663</v>
      </c>
      <c r="H31" s="915"/>
      <c r="I31" s="915"/>
      <c r="J31" s="915"/>
      <c r="K31" s="915"/>
      <c r="L31" s="915"/>
      <c r="M31" s="915"/>
      <c r="N31" s="916"/>
    </row>
    <row r="32" spans="1:14" s="19" customFormat="1" ht="33.75" customHeight="1">
      <c r="A32" s="359" t="str">
        <f>+IF(J19&gt;0,J18,"")</f>
        <v>ago</v>
      </c>
      <c r="B32" s="914" t="s">
        <v>675</v>
      </c>
      <c r="C32" s="915"/>
      <c r="D32" s="915"/>
      <c r="E32" s="915"/>
      <c r="F32" s="916"/>
      <c r="G32" s="917" t="s">
        <v>663</v>
      </c>
      <c r="H32" s="915"/>
      <c r="I32" s="915"/>
      <c r="J32" s="915"/>
      <c r="K32" s="915"/>
      <c r="L32" s="915"/>
      <c r="M32" s="915"/>
      <c r="N32" s="916"/>
    </row>
    <row r="33" spans="1:15" s="19" customFormat="1" ht="28.5" customHeight="1">
      <c r="A33" s="359" t="str">
        <f>+IF(K19&gt;0,K18,"")</f>
        <v>sep</v>
      </c>
      <c r="B33" s="914" t="s">
        <v>675</v>
      </c>
      <c r="C33" s="915"/>
      <c r="D33" s="915"/>
      <c r="E33" s="915"/>
      <c r="F33" s="916"/>
      <c r="G33" s="917" t="s">
        <v>663</v>
      </c>
      <c r="H33" s="915"/>
      <c r="I33" s="915"/>
      <c r="J33" s="915"/>
      <c r="K33" s="915"/>
      <c r="L33" s="915"/>
      <c r="M33" s="915"/>
      <c r="N33" s="916"/>
    </row>
    <row r="34" spans="1:15" s="19" customFormat="1" ht="26.45" customHeight="1">
      <c r="A34" s="359" t="str">
        <f>+IF(L19&gt;0,L18,"")</f>
        <v>oct</v>
      </c>
      <c r="B34" s="914"/>
      <c r="C34" s="915"/>
      <c r="D34" s="915"/>
      <c r="E34" s="915"/>
      <c r="F34" s="916"/>
      <c r="G34" s="917"/>
      <c r="H34" s="915"/>
      <c r="I34" s="915"/>
      <c r="J34" s="915"/>
      <c r="K34" s="915"/>
      <c r="L34" s="915"/>
      <c r="M34" s="915"/>
      <c r="N34" s="916"/>
    </row>
    <row r="35" spans="1:15" s="19" customFormat="1" ht="28.5" customHeight="1">
      <c r="A35" s="359" t="str">
        <f>+IF(M19&gt;0,M18,"")</f>
        <v>nov</v>
      </c>
      <c r="B35" s="914"/>
      <c r="C35" s="915"/>
      <c r="D35" s="915"/>
      <c r="E35" s="915"/>
      <c r="F35" s="916"/>
      <c r="G35" s="917"/>
      <c r="H35" s="915"/>
      <c r="I35" s="915"/>
      <c r="J35" s="915"/>
      <c r="K35" s="915"/>
      <c r="L35" s="915"/>
      <c r="M35" s="915"/>
      <c r="N35" s="916"/>
    </row>
    <row r="36" spans="1:15" s="19" customFormat="1" ht="28.5" customHeight="1">
      <c r="A36" s="360" t="str">
        <f>+IF(N19&gt;0,N18,"")</f>
        <v>dic</v>
      </c>
      <c r="B36" s="914"/>
      <c r="C36" s="915"/>
      <c r="D36" s="915"/>
      <c r="E36" s="915"/>
      <c r="F36" s="916"/>
      <c r="G36" s="917"/>
      <c r="H36" s="915"/>
      <c r="I36" s="915"/>
      <c r="J36" s="915"/>
      <c r="K36" s="915"/>
      <c r="L36" s="915"/>
      <c r="M36" s="915"/>
      <c r="N36" s="916"/>
    </row>
    <row r="37" spans="1:15" s="19" customFormat="1" ht="28.5" customHeight="1">
      <c r="A37" s="360" t="str">
        <f>+IF(N19&gt;0,N18,"")</f>
        <v>dic</v>
      </c>
      <c r="B37" s="914"/>
      <c r="C37" s="915"/>
      <c r="D37" s="915"/>
      <c r="E37" s="915"/>
      <c r="F37" s="916"/>
      <c r="G37" s="917"/>
      <c r="H37" s="915"/>
      <c r="I37" s="915"/>
      <c r="J37" s="915"/>
      <c r="K37" s="915"/>
      <c r="L37" s="915"/>
      <c r="M37" s="915"/>
      <c r="N37" s="916"/>
    </row>
    <row r="38" spans="1:15">
      <c r="A38" s="256"/>
      <c r="B38" s="256"/>
      <c r="C38" s="280"/>
      <c r="D38" s="280"/>
      <c r="E38" s="280"/>
      <c r="F38" s="280"/>
      <c r="G38" s="280"/>
      <c r="H38" s="280"/>
      <c r="I38" s="280"/>
      <c r="J38" s="280"/>
      <c r="K38" s="280"/>
      <c r="L38" s="280"/>
      <c r="M38" s="280"/>
      <c r="N38" s="280"/>
    </row>
    <row r="39" spans="1:15">
      <c r="A39" s="256"/>
      <c r="B39" s="409" t="s">
        <v>362</v>
      </c>
      <c r="C39" s="410">
        <v>44197</v>
      </c>
      <c r="D39" s="410">
        <v>44228</v>
      </c>
      <c r="E39" s="410">
        <v>44256</v>
      </c>
      <c r="F39" s="410">
        <v>44287</v>
      </c>
      <c r="G39" s="410">
        <v>44317</v>
      </c>
      <c r="H39" s="410">
        <v>44348</v>
      </c>
      <c r="I39" s="410">
        <v>44378</v>
      </c>
      <c r="J39" s="410">
        <v>44409</v>
      </c>
      <c r="K39" s="410">
        <v>44440</v>
      </c>
      <c r="L39" s="410">
        <v>44470</v>
      </c>
      <c r="M39" s="410">
        <v>44501</v>
      </c>
      <c r="N39" s="410">
        <v>44531</v>
      </c>
    </row>
    <row r="40" spans="1:15">
      <c r="A40" s="256"/>
      <c r="B40" s="409" t="s">
        <v>4</v>
      </c>
      <c r="C40" s="411">
        <v>1</v>
      </c>
      <c r="D40" s="411">
        <v>1</v>
      </c>
      <c r="E40" s="411">
        <v>1</v>
      </c>
      <c r="F40" s="411">
        <v>1</v>
      </c>
      <c r="G40" s="411">
        <v>1</v>
      </c>
      <c r="H40" s="411">
        <v>1</v>
      </c>
      <c r="I40" s="411">
        <v>1</v>
      </c>
      <c r="J40" s="411">
        <v>1</v>
      </c>
      <c r="K40" s="411">
        <v>1</v>
      </c>
      <c r="L40" s="411">
        <v>1</v>
      </c>
      <c r="M40" s="411">
        <v>1</v>
      </c>
      <c r="N40" s="411">
        <v>1</v>
      </c>
    </row>
    <row r="41" spans="1:15" ht="24" customHeight="1">
      <c r="A41" s="256"/>
      <c r="B41" s="412" t="s">
        <v>676</v>
      </c>
      <c r="C41" s="443">
        <v>0</v>
      </c>
      <c r="D41" s="443">
        <v>0</v>
      </c>
      <c r="E41" s="443">
        <v>0</v>
      </c>
      <c r="F41" s="443">
        <v>0</v>
      </c>
      <c r="G41" s="443">
        <v>0</v>
      </c>
      <c r="H41" s="443">
        <v>0</v>
      </c>
      <c r="I41" s="443">
        <v>0</v>
      </c>
      <c r="J41" s="443"/>
      <c r="K41" s="443"/>
      <c r="L41" s="443"/>
      <c r="M41" s="443"/>
      <c r="N41" s="443"/>
    </row>
    <row r="42" spans="1:15" ht="25.5">
      <c r="A42" s="256"/>
      <c r="B42" s="412" t="s">
        <v>677</v>
      </c>
      <c r="C42" s="443">
        <v>27</v>
      </c>
      <c r="D42" s="443">
        <v>27</v>
      </c>
      <c r="E42" s="443">
        <v>28</v>
      </c>
      <c r="F42" s="443">
        <v>28</v>
      </c>
      <c r="G42" s="443">
        <v>28</v>
      </c>
      <c r="H42" s="443">
        <v>28</v>
      </c>
      <c r="I42" s="443">
        <v>28</v>
      </c>
      <c r="J42" s="443"/>
      <c r="K42" s="443"/>
      <c r="L42" s="443"/>
      <c r="M42" s="443"/>
      <c r="N42" s="443"/>
    </row>
    <row r="43" spans="1:15" hidden="1">
      <c r="A43" s="256"/>
      <c r="B43" s="412" t="s">
        <v>366</v>
      </c>
      <c r="C43" s="413">
        <f t="shared" ref="C43:N43" si="2">IFERROR((((C41/C42)*100%))-100%,"")</f>
        <v>-1</v>
      </c>
      <c r="D43" s="413">
        <f t="shared" si="2"/>
        <v>-1</v>
      </c>
      <c r="E43" s="413">
        <f t="shared" si="2"/>
        <v>-1</v>
      </c>
      <c r="F43" s="413">
        <f t="shared" si="2"/>
        <v>-1</v>
      </c>
      <c r="G43" s="413">
        <f t="shared" si="2"/>
        <v>-1</v>
      </c>
      <c r="H43" s="413">
        <f t="shared" si="2"/>
        <v>-1</v>
      </c>
      <c r="I43" s="413">
        <f t="shared" si="2"/>
        <v>-1</v>
      </c>
      <c r="J43" s="413" t="str">
        <f t="shared" si="2"/>
        <v/>
      </c>
      <c r="K43" s="413" t="str">
        <f t="shared" si="2"/>
        <v/>
      </c>
      <c r="L43" s="413" t="str">
        <f t="shared" si="2"/>
        <v/>
      </c>
      <c r="M43" s="413" t="str">
        <f t="shared" si="2"/>
        <v/>
      </c>
      <c r="N43" s="413" t="str">
        <f t="shared" si="2"/>
        <v/>
      </c>
    </row>
    <row r="44" spans="1:15">
      <c r="A44" s="256"/>
      <c r="B44" s="414" t="s">
        <v>366</v>
      </c>
      <c r="C44" s="413">
        <f>100%-C45</f>
        <v>1</v>
      </c>
      <c r="D44" s="413">
        <f t="shared" ref="D44:N44" si="3">100%-D45</f>
        <v>1</v>
      </c>
      <c r="E44" s="413">
        <f t="shared" si="3"/>
        <v>1</v>
      </c>
      <c r="F44" s="413">
        <f t="shared" si="3"/>
        <v>1</v>
      </c>
      <c r="G44" s="413">
        <f t="shared" si="3"/>
        <v>1</v>
      </c>
      <c r="H44" s="413">
        <f t="shared" si="3"/>
        <v>1</v>
      </c>
      <c r="I44" s="413">
        <f t="shared" si="3"/>
        <v>1</v>
      </c>
      <c r="J44" s="413" t="e">
        <f t="shared" si="3"/>
        <v>#VALUE!</v>
      </c>
      <c r="K44" s="413" t="e">
        <f t="shared" si="3"/>
        <v>#VALUE!</v>
      </c>
      <c r="L44" s="413" t="e">
        <f t="shared" si="3"/>
        <v>#VALUE!</v>
      </c>
      <c r="M44" s="413" t="e">
        <f t="shared" si="3"/>
        <v>#VALUE!</v>
      </c>
      <c r="N44" s="413" t="e">
        <f t="shared" si="3"/>
        <v>#VALUE!</v>
      </c>
      <c r="O44" s="233" t="e">
        <f>AVERAGE(C44:N44)</f>
        <v>#VALUE!</v>
      </c>
    </row>
    <row r="45" spans="1:15">
      <c r="A45" s="256"/>
      <c r="B45" s="280" t="s">
        <v>530</v>
      </c>
      <c r="C45" s="439">
        <f t="shared" ref="C45:N45" si="4">IFERROR((C41/C42)*100%,"")</f>
        <v>0</v>
      </c>
      <c r="D45" s="439">
        <f t="shared" si="4"/>
        <v>0</v>
      </c>
      <c r="E45" s="440">
        <f t="shared" si="4"/>
        <v>0</v>
      </c>
      <c r="F45" s="464">
        <f t="shared" si="4"/>
        <v>0</v>
      </c>
      <c r="G45" s="440">
        <f t="shared" si="4"/>
        <v>0</v>
      </c>
      <c r="H45" s="440">
        <f t="shared" si="4"/>
        <v>0</v>
      </c>
      <c r="I45" s="440">
        <f t="shared" si="4"/>
        <v>0</v>
      </c>
      <c r="J45" s="440" t="str">
        <f t="shared" si="4"/>
        <v/>
      </c>
      <c r="K45" s="440" t="str">
        <f t="shared" si="4"/>
        <v/>
      </c>
      <c r="L45" s="440" t="str">
        <f t="shared" si="4"/>
        <v/>
      </c>
      <c r="M45" s="440" t="str">
        <f t="shared" si="4"/>
        <v/>
      </c>
      <c r="N45" s="440" t="str">
        <f t="shared" si="4"/>
        <v/>
      </c>
    </row>
    <row r="46" spans="1:15" hidden="1">
      <c r="B46" s="205" t="s">
        <v>400</v>
      </c>
      <c r="C46" s="206">
        <f t="shared" ref="C46:N46" si="5">IFERROR(C41/C42,"")</f>
        <v>0</v>
      </c>
      <c r="D46" s="206">
        <f t="shared" si="5"/>
        <v>0</v>
      </c>
      <c r="E46" s="206">
        <f t="shared" si="5"/>
        <v>0</v>
      </c>
      <c r="F46" s="206">
        <f t="shared" si="5"/>
        <v>0</v>
      </c>
      <c r="G46" s="206">
        <f t="shared" si="5"/>
        <v>0</v>
      </c>
      <c r="H46" s="206">
        <f t="shared" si="5"/>
        <v>0</v>
      </c>
      <c r="I46" s="206">
        <f t="shared" si="5"/>
        <v>0</v>
      </c>
      <c r="J46" s="206" t="str">
        <f t="shared" si="5"/>
        <v/>
      </c>
      <c r="K46" s="206" t="str">
        <f t="shared" si="5"/>
        <v/>
      </c>
      <c r="L46" s="206" t="str">
        <f t="shared" si="5"/>
        <v/>
      </c>
      <c r="M46" s="206" t="str">
        <f t="shared" si="5"/>
        <v/>
      </c>
      <c r="N46" s="206" t="str">
        <f t="shared" si="5"/>
        <v/>
      </c>
    </row>
    <row r="47" spans="1:15" hidden="1">
      <c r="B47" s="207" t="s">
        <v>401</v>
      </c>
      <c r="C47" s="208">
        <f t="shared" ref="C47:N47" si="6">IFERROR(1/C42,"")</f>
        <v>3.7037037037037035E-2</v>
      </c>
      <c r="D47" s="208">
        <f t="shared" si="6"/>
        <v>3.7037037037037035E-2</v>
      </c>
      <c r="E47" s="208">
        <f t="shared" si="6"/>
        <v>3.5714285714285712E-2</v>
      </c>
      <c r="F47" s="208">
        <f t="shared" si="6"/>
        <v>3.5714285714285712E-2</v>
      </c>
      <c r="G47" s="208">
        <f t="shared" si="6"/>
        <v>3.5714285714285712E-2</v>
      </c>
      <c r="H47" s="208">
        <f t="shared" si="6"/>
        <v>3.5714285714285712E-2</v>
      </c>
      <c r="I47" s="208">
        <f t="shared" si="6"/>
        <v>3.5714285714285712E-2</v>
      </c>
      <c r="J47" s="208" t="str">
        <f t="shared" si="6"/>
        <v/>
      </c>
      <c r="K47" s="208" t="str">
        <f t="shared" si="6"/>
        <v/>
      </c>
      <c r="L47" s="208" t="str">
        <f t="shared" si="6"/>
        <v/>
      </c>
      <c r="M47" s="208" t="str">
        <f t="shared" si="6"/>
        <v/>
      </c>
      <c r="N47" s="208" t="str">
        <f t="shared" si="6"/>
        <v/>
      </c>
    </row>
  </sheetData>
  <sheetProtection formatCells="0" formatColumns="0" formatRows="0"/>
  <mergeCells count="53">
    <mergeCell ref="A13:B13"/>
    <mergeCell ref="C13:N13"/>
    <mergeCell ref="A1:J4"/>
    <mergeCell ref="K1:L1"/>
    <mergeCell ref="M1:N1"/>
    <mergeCell ref="K2:L2"/>
    <mergeCell ref="M2:N2"/>
    <mergeCell ref="K3:L3"/>
    <mergeCell ref="M3:N3"/>
    <mergeCell ref="K4:L4"/>
    <mergeCell ref="M4:N4"/>
    <mergeCell ref="C6:N6"/>
    <mergeCell ref="C7:N7"/>
    <mergeCell ref="C8:G8"/>
    <mergeCell ref="C9:N9"/>
    <mergeCell ref="C12:N12"/>
    <mergeCell ref="B25:F25"/>
    <mergeCell ref="C14:N14"/>
    <mergeCell ref="C15:N15"/>
    <mergeCell ref="A16:B16"/>
    <mergeCell ref="A18:B18"/>
    <mergeCell ref="A19:B19"/>
    <mergeCell ref="A20:B20"/>
    <mergeCell ref="A21:B21"/>
    <mergeCell ref="A22:B22"/>
    <mergeCell ref="G24:N24"/>
    <mergeCell ref="C16:N16"/>
    <mergeCell ref="B24:F24"/>
    <mergeCell ref="G25:N25"/>
    <mergeCell ref="B26:F26"/>
    <mergeCell ref="G26:N26"/>
    <mergeCell ref="B27:F27"/>
    <mergeCell ref="G27:N27"/>
    <mergeCell ref="B28:F28"/>
    <mergeCell ref="G28:N28"/>
    <mergeCell ref="B29:F29"/>
    <mergeCell ref="G29:N29"/>
    <mergeCell ref="B30:F30"/>
    <mergeCell ref="G30:N30"/>
    <mergeCell ref="B31:F31"/>
    <mergeCell ref="G31:N31"/>
    <mergeCell ref="B32:F32"/>
    <mergeCell ref="G32:N32"/>
    <mergeCell ref="B33:F33"/>
    <mergeCell ref="G33:N33"/>
    <mergeCell ref="B34:F34"/>
    <mergeCell ref="G34:N34"/>
    <mergeCell ref="B35:F35"/>
    <mergeCell ref="G35:N35"/>
    <mergeCell ref="B36:F36"/>
    <mergeCell ref="G36:N36"/>
    <mergeCell ref="B37:F37"/>
    <mergeCell ref="G37:N37"/>
  </mergeCells>
  <hyperlinks>
    <hyperlink ref="O5" location="'Matriz Sta Ana'!A1" display="Volver" xr:uid="{CEF5DD6E-C839-479B-B183-E16CBDA728B2}"/>
  </hyperlinks>
  <pageMargins left="0.7" right="0.7" top="0.75" bottom="0.75" header="0.3" footer="0.3"/>
  <pageSetup scale="67" fitToHeight="0" orientation="portrait" r:id="rId1"/>
  <rowBreaks count="1" manualBreakCount="1">
    <brk id="21" max="13" man="1"/>
  </rowBreaks>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642509-D59D-4FC9-935E-1D9D9A94C618}">
  <sheetPr>
    <tabColor rgb="FFFFC000"/>
  </sheetPr>
  <dimension ref="A1:O112"/>
  <sheetViews>
    <sheetView view="pageBreakPreview" zoomScale="85" zoomScaleNormal="100" zoomScaleSheetLayoutView="85" workbookViewId="0">
      <selection sqref="A1:J4"/>
    </sheetView>
  </sheetViews>
  <sheetFormatPr baseColWidth="10" defaultColWidth="11.42578125" defaultRowHeight="16.5"/>
  <cols>
    <col min="1" max="1" width="7.42578125" style="5" customWidth="1"/>
    <col min="2" max="2" width="28.42578125" style="5" customWidth="1"/>
    <col min="3" max="3" width="7.140625" style="4" customWidth="1"/>
    <col min="4" max="4" width="7.85546875" style="4" customWidth="1"/>
    <col min="5" max="5" width="6.85546875" style="4" customWidth="1"/>
    <col min="6" max="6" width="7.5703125" style="4" customWidth="1"/>
    <col min="7" max="7" width="10.85546875" style="4" customWidth="1"/>
    <col min="8" max="8" width="8.140625" style="4" customWidth="1"/>
    <col min="9" max="9" width="7.140625" style="4" customWidth="1"/>
    <col min="10" max="10" width="12" style="4" bestFit="1" customWidth="1"/>
    <col min="11" max="11" width="14.42578125" style="4" customWidth="1"/>
    <col min="12" max="12" width="10.42578125" style="4" customWidth="1"/>
    <col min="13" max="13" width="11.5703125" style="4" customWidth="1"/>
    <col min="14" max="14" width="7.140625" style="4" customWidth="1"/>
    <col min="15"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7.25" customHeight="1">
      <c r="A6" s="5" t="s">
        <v>121</v>
      </c>
      <c r="C6" s="734" t="s">
        <v>13</v>
      </c>
      <c r="D6" s="734"/>
      <c r="E6" s="734"/>
      <c r="F6" s="734"/>
      <c r="G6" s="734"/>
      <c r="H6" s="734"/>
      <c r="I6" s="734"/>
      <c r="J6" s="734"/>
      <c r="K6" s="734"/>
      <c r="L6" s="734"/>
      <c r="M6" s="734"/>
      <c r="N6" s="734"/>
    </row>
    <row r="7" spans="1:15" ht="17.25" customHeight="1">
      <c r="A7" s="5" t="s">
        <v>3</v>
      </c>
      <c r="C7" s="700" t="s">
        <v>14</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ht="19.5" customHeight="1">
      <c r="A9" s="5" t="s">
        <v>124</v>
      </c>
      <c r="C9" s="735">
        <v>1</v>
      </c>
      <c r="D9" s="736"/>
      <c r="E9" s="736"/>
      <c r="F9" s="736"/>
      <c r="G9" s="736"/>
      <c r="H9" s="736"/>
      <c r="I9" s="736"/>
      <c r="J9" s="736"/>
      <c r="K9" s="736"/>
      <c r="L9" s="736"/>
      <c r="M9" s="736"/>
      <c r="N9" s="736"/>
    </row>
    <row r="10" spans="1:15">
      <c r="A10" s="5" t="s">
        <v>5</v>
      </c>
      <c r="C10" s="64" t="s">
        <v>15</v>
      </c>
      <c r="D10" s="64"/>
      <c r="E10" s="64"/>
      <c r="F10" s="64"/>
      <c r="G10" s="64"/>
      <c r="H10" s="64"/>
      <c r="I10" s="64"/>
      <c r="J10" s="64"/>
      <c r="K10" s="64"/>
      <c r="L10" s="64"/>
      <c r="M10" s="64"/>
      <c r="N10" s="64"/>
    </row>
    <row r="11" spans="1:15">
      <c r="A11" s="5" t="s">
        <v>6</v>
      </c>
      <c r="C11" s="64" t="s">
        <v>16</v>
      </c>
      <c r="D11" s="64"/>
      <c r="E11" s="64"/>
      <c r="F11" s="64"/>
      <c r="G11" s="64"/>
      <c r="H11" s="64"/>
      <c r="I11" s="64"/>
      <c r="J11" s="64"/>
      <c r="K11" s="64"/>
      <c r="L11" s="64"/>
      <c r="M11" s="64"/>
      <c r="N11" s="64"/>
    </row>
    <row r="12" spans="1:15" ht="18" customHeight="1">
      <c r="A12" s="5" t="s">
        <v>7</v>
      </c>
      <c r="C12" s="700" t="s">
        <v>17</v>
      </c>
      <c r="D12" s="700"/>
      <c r="E12" s="700"/>
      <c r="F12" s="700"/>
      <c r="G12" s="700"/>
      <c r="H12" s="700"/>
      <c r="I12" s="700"/>
      <c r="J12" s="700"/>
      <c r="K12" s="700"/>
      <c r="L12" s="700"/>
      <c r="M12" s="700"/>
      <c r="N12" s="700"/>
    </row>
    <row r="13" spans="1:15" ht="30" customHeight="1">
      <c r="A13" s="737" t="s">
        <v>125</v>
      </c>
      <c r="B13" s="737"/>
      <c r="C13" s="700" t="s">
        <v>126</v>
      </c>
      <c r="D13" s="700"/>
      <c r="E13" s="700"/>
      <c r="F13" s="700"/>
      <c r="G13" s="700"/>
      <c r="H13" s="700"/>
      <c r="I13" s="700"/>
      <c r="J13" s="700"/>
      <c r="K13" s="700"/>
      <c r="L13" s="700"/>
      <c r="M13" s="700"/>
      <c r="N13" s="700"/>
    </row>
    <row r="14" spans="1:15" ht="34.5" customHeight="1">
      <c r="A14" s="5" t="s">
        <v>127</v>
      </c>
      <c r="C14" s="700" t="s">
        <v>316</v>
      </c>
      <c r="D14" s="700"/>
      <c r="E14" s="700"/>
      <c r="F14" s="700"/>
      <c r="G14" s="700"/>
      <c r="H14" s="700"/>
      <c r="I14" s="700"/>
      <c r="J14" s="700"/>
      <c r="K14" s="700"/>
      <c r="L14" s="700"/>
      <c r="M14" s="700"/>
      <c r="N14" s="700"/>
    </row>
    <row r="15" spans="1:15" ht="19.5" customHeight="1">
      <c r="A15" s="5" t="s">
        <v>10</v>
      </c>
      <c r="C15" s="701" t="s">
        <v>18</v>
      </c>
      <c r="D15" s="701"/>
      <c r="E15" s="701"/>
      <c r="F15" s="701"/>
      <c r="G15" s="701"/>
      <c r="H15" s="701"/>
      <c r="I15" s="701"/>
      <c r="J15" s="701"/>
      <c r="K15" s="701"/>
      <c r="L15" s="701"/>
      <c r="M15" s="701"/>
      <c r="N15" s="701"/>
    </row>
    <row r="16" spans="1:15" ht="19.5" customHeight="1">
      <c r="A16" s="707" t="s">
        <v>443</v>
      </c>
      <c r="B16" s="707"/>
      <c r="C16" s="708" t="s">
        <v>714</v>
      </c>
      <c r="D16" s="709"/>
      <c r="E16" s="709"/>
      <c r="F16" s="709"/>
      <c r="G16" s="709"/>
      <c r="H16" s="709"/>
      <c r="I16" s="709"/>
      <c r="J16" s="709"/>
      <c r="K16" s="709"/>
      <c r="L16" s="709"/>
      <c r="M16" s="709"/>
      <c r="N16" s="709"/>
    </row>
    <row r="17" spans="1:14" ht="19.5" customHeight="1">
      <c r="A17" s="467"/>
      <c r="B17" s="467"/>
      <c r="C17" s="5"/>
      <c r="D17" s="5"/>
      <c r="E17" s="5"/>
      <c r="F17" s="5"/>
      <c r="G17" s="5"/>
      <c r="H17" s="5"/>
      <c r="I17" s="5"/>
      <c r="J17" s="5"/>
      <c r="K17" s="5"/>
      <c r="L17" s="5"/>
      <c r="M17" s="5"/>
      <c r="N17" s="5"/>
    </row>
    <row r="18" spans="1:14" ht="15" customHeight="1">
      <c r="A18" s="4"/>
      <c r="B18" s="10" t="s">
        <v>129</v>
      </c>
      <c r="C18" s="11" t="s">
        <v>130</v>
      </c>
      <c r="D18" s="11" t="s">
        <v>131</v>
      </c>
      <c r="E18" s="11" t="s">
        <v>132</v>
      </c>
      <c r="F18" s="11" t="s">
        <v>133</v>
      </c>
      <c r="G18" s="11" t="s">
        <v>134</v>
      </c>
      <c r="H18" s="11" t="s">
        <v>135</v>
      </c>
      <c r="I18" s="11" t="s">
        <v>136</v>
      </c>
      <c r="J18" s="11" t="s">
        <v>137</v>
      </c>
      <c r="K18" s="11" t="s">
        <v>138</v>
      </c>
      <c r="L18" s="11" t="s">
        <v>139</v>
      </c>
      <c r="M18" s="11" t="s">
        <v>140</v>
      </c>
      <c r="N18" s="11" t="s">
        <v>141</v>
      </c>
    </row>
    <row r="19" spans="1:14">
      <c r="A19" s="4"/>
      <c r="B19" s="10"/>
      <c r="C19" s="11">
        <v>1</v>
      </c>
      <c r="D19" s="11">
        <v>2</v>
      </c>
      <c r="E19" s="11">
        <v>3</v>
      </c>
      <c r="F19" s="11">
        <v>4</v>
      </c>
      <c r="G19" s="11">
        <v>5</v>
      </c>
      <c r="H19" s="11">
        <v>6</v>
      </c>
      <c r="I19" s="11">
        <v>7</v>
      </c>
      <c r="J19" s="11">
        <v>8</v>
      </c>
      <c r="K19" s="11">
        <v>9</v>
      </c>
      <c r="L19" s="11">
        <v>10</v>
      </c>
      <c r="M19" s="11">
        <v>11</v>
      </c>
      <c r="N19" s="11">
        <v>12</v>
      </c>
    </row>
    <row r="20" spans="1:14" ht="35.25" customHeight="1">
      <c r="A20" s="702" t="s">
        <v>142</v>
      </c>
      <c r="B20" s="703"/>
      <c r="C20" s="278">
        <f>M41</f>
        <v>1</v>
      </c>
      <c r="D20" s="278">
        <f>+M47</f>
        <v>1</v>
      </c>
      <c r="E20" s="278">
        <f>+M53</f>
        <v>1</v>
      </c>
      <c r="F20" s="278">
        <f>+M59</f>
        <v>1</v>
      </c>
      <c r="G20" s="278">
        <f>+M65</f>
        <v>1</v>
      </c>
      <c r="H20" s="278">
        <f>+M71</f>
        <v>1</v>
      </c>
      <c r="I20" s="278">
        <f>+M77</f>
        <v>1</v>
      </c>
      <c r="J20" s="278">
        <f>+M83</f>
        <v>1</v>
      </c>
      <c r="K20" s="278">
        <f>+M83</f>
        <v>1</v>
      </c>
      <c r="L20" s="278" t="e">
        <f>+M95</f>
        <v>#DIV/0!</v>
      </c>
      <c r="M20" s="278" t="e">
        <f>+M101</f>
        <v>#DIV/0!</v>
      </c>
      <c r="N20" s="278" t="e">
        <f>+M107</f>
        <v>#DIV/0!</v>
      </c>
    </row>
    <row r="21" spans="1:14" ht="42" customHeight="1">
      <c r="A21" s="13" t="s">
        <v>143</v>
      </c>
      <c r="B21" s="260"/>
      <c r="C21" s="278">
        <v>1</v>
      </c>
      <c r="D21" s="278">
        <v>1</v>
      </c>
      <c r="E21" s="278">
        <v>1</v>
      </c>
      <c r="F21" s="278">
        <v>1</v>
      </c>
      <c r="G21" s="278">
        <v>1</v>
      </c>
      <c r="H21" s="278">
        <v>1</v>
      </c>
      <c r="I21" s="278">
        <v>1</v>
      </c>
      <c r="J21" s="278">
        <v>1</v>
      </c>
      <c r="K21" s="278">
        <v>1</v>
      </c>
      <c r="L21" s="278">
        <v>1</v>
      </c>
      <c r="M21" s="278">
        <v>1</v>
      </c>
      <c r="N21" s="278">
        <v>1</v>
      </c>
    </row>
    <row r="22" spans="1:14" s="19" customFormat="1" ht="194.25" customHeight="1">
      <c r="A22" s="15" t="s">
        <v>144</v>
      </c>
      <c r="B22" s="16"/>
      <c r="C22" s="17"/>
      <c r="D22" s="17"/>
      <c r="E22" s="17"/>
      <c r="F22" s="17"/>
      <c r="G22" s="17"/>
      <c r="H22" s="17"/>
      <c r="I22" s="17"/>
      <c r="J22" s="17"/>
      <c r="K22" s="17"/>
      <c r="L22" s="17"/>
      <c r="M22" s="17"/>
      <c r="N22" s="18"/>
    </row>
    <row r="23" spans="1:14" ht="7.5" customHeight="1"/>
    <row r="24" spans="1:14" ht="25.5" customHeight="1">
      <c r="A24" s="20" t="s">
        <v>145</v>
      </c>
      <c r="B24" s="21"/>
      <c r="C24" s="22"/>
      <c r="D24" s="22"/>
      <c r="E24" s="22"/>
      <c r="F24" s="22"/>
      <c r="G24" s="23" t="s">
        <v>146</v>
      </c>
      <c r="H24" s="22"/>
      <c r="I24" s="22"/>
      <c r="J24" s="22"/>
      <c r="K24" s="22"/>
      <c r="L24" s="22"/>
      <c r="M24" s="22"/>
      <c r="N24" s="24"/>
    </row>
    <row r="25" spans="1:14" ht="25.5" customHeight="1">
      <c r="A25" s="25" t="s">
        <v>129</v>
      </c>
      <c r="G25" s="26"/>
      <c r="N25" s="27"/>
    </row>
    <row r="26" spans="1:14" s="19" customFormat="1" ht="28.5" customHeight="1">
      <c r="A26" s="324" t="str">
        <f>+IF(C19&gt;0,C18,"")</f>
        <v>ene</v>
      </c>
      <c r="B26" s="713" t="s">
        <v>646</v>
      </c>
      <c r="C26" s="714"/>
      <c r="D26" s="714"/>
      <c r="E26" s="714"/>
      <c r="F26" s="715"/>
      <c r="G26" s="704" t="s">
        <v>647</v>
      </c>
      <c r="H26" s="705"/>
      <c r="I26" s="705"/>
      <c r="J26" s="705"/>
      <c r="K26" s="705"/>
      <c r="L26" s="705"/>
      <c r="M26" s="705"/>
      <c r="N26" s="706"/>
    </row>
    <row r="27" spans="1:14" s="19" customFormat="1" ht="28.5" customHeight="1">
      <c r="A27" s="325" t="str">
        <f>+IF(D19&gt;0,D18,"")</f>
        <v>feb</v>
      </c>
      <c r="B27" s="713" t="s">
        <v>648</v>
      </c>
      <c r="C27" s="714"/>
      <c r="D27" s="714"/>
      <c r="E27" s="714"/>
      <c r="F27" s="715"/>
      <c r="G27" s="704" t="s">
        <v>647</v>
      </c>
      <c r="H27" s="705"/>
      <c r="I27" s="705"/>
      <c r="J27" s="705"/>
      <c r="K27" s="705"/>
      <c r="L27" s="705"/>
      <c r="M27" s="705"/>
      <c r="N27" s="706"/>
    </row>
    <row r="28" spans="1:14" s="19" customFormat="1" ht="28.5" customHeight="1">
      <c r="A28" s="325" t="str">
        <f>+IF(E19&gt;0,E18,"")</f>
        <v>mar</v>
      </c>
      <c r="B28" s="713" t="s">
        <v>648</v>
      </c>
      <c r="C28" s="714"/>
      <c r="D28" s="714"/>
      <c r="E28" s="714"/>
      <c r="F28" s="715"/>
      <c r="G28" s="704" t="s">
        <v>647</v>
      </c>
      <c r="H28" s="705"/>
      <c r="I28" s="705"/>
      <c r="J28" s="705"/>
      <c r="K28" s="705"/>
      <c r="L28" s="705"/>
      <c r="M28" s="705"/>
      <c r="N28" s="706"/>
    </row>
    <row r="29" spans="1:14" s="19" customFormat="1" ht="32.25" customHeight="1">
      <c r="A29" s="325" t="str">
        <f>+IF(F19&gt;0,F18,"")</f>
        <v>abr</v>
      </c>
      <c r="B29" s="713" t="s">
        <v>646</v>
      </c>
      <c r="C29" s="714"/>
      <c r="D29" s="714"/>
      <c r="E29" s="714"/>
      <c r="F29" s="715"/>
      <c r="G29" s="704" t="s">
        <v>647</v>
      </c>
      <c r="H29" s="705"/>
      <c r="I29" s="705"/>
      <c r="J29" s="705"/>
      <c r="K29" s="705"/>
      <c r="L29" s="705"/>
      <c r="M29" s="705"/>
      <c r="N29" s="706"/>
    </row>
    <row r="30" spans="1:14" s="19" customFormat="1" ht="28.5" customHeight="1">
      <c r="A30" s="325" t="str">
        <f>+IF(G19&gt;0,G18,"")</f>
        <v>may</v>
      </c>
      <c r="B30" s="713" t="s">
        <v>646</v>
      </c>
      <c r="C30" s="714"/>
      <c r="D30" s="714"/>
      <c r="E30" s="714"/>
      <c r="F30" s="715"/>
      <c r="G30" s="704" t="s">
        <v>647</v>
      </c>
      <c r="H30" s="705"/>
      <c r="I30" s="705"/>
      <c r="J30" s="705"/>
      <c r="K30" s="705"/>
      <c r="L30" s="705"/>
      <c r="M30" s="705"/>
      <c r="N30" s="706"/>
    </row>
    <row r="31" spans="1:14" s="19" customFormat="1" ht="34.5" customHeight="1">
      <c r="A31" s="325" t="str">
        <f>+IF(H19&gt;0,H18,"")</f>
        <v>jun</v>
      </c>
      <c r="B31" s="713" t="s">
        <v>646</v>
      </c>
      <c r="C31" s="714"/>
      <c r="D31" s="714"/>
      <c r="E31" s="714"/>
      <c r="F31" s="715"/>
      <c r="G31" s="704" t="s">
        <v>647</v>
      </c>
      <c r="H31" s="705"/>
      <c r="I31" s="705"/>
      <c r="J31" s="705"/>
      <c r="K31" s="705"/>
      <c r="L31" s="705"/>
      <c r="M31" s="705"/>
      <c r="N31" s="706"/>
    </row>
    <row r="32" spans="1:14" s="19" customFormat="1" ht="33.75" customHeight="1">
      <c r="A32" s="325" t="str">
        <f>+IF(I19&gt;0,I18,"")</f>
        <v>jul</v>
      </c>
      <c r="B32" s="713" t="s">
        <v>646</v>
      </c>
      <c r="C32" s="714"/>
      <c r="D32" s="714"/>
      <c r="E32" s="714"/>
      <c r="F32" s="715"/>
      <c r="G32" s="704" t="s">
        <v>647</v>
      </c>
      <c r="H32" s="705"/>
      <c r="I32" s="705"/>
      <c r="J32" s="705"/>
      <c r="K32" s="705"/>
      <c r="L32" s="705"/>
      <c r="M32" s="705"/>
      <c r="N32" s="706"/>
    </row>
    <row r="33" spans="1:14" s="19" customFormat="1" ht="28.5" customHeight="1">
      <c r="A33" s="325" t="str">
        <f>+IF(J19&gt;0,J18,"")</f>
        <v>ago</v>
      </c>
      <c r="B33" s="713" t="s">
        <v>646</v>
      </c>
      <c r="C33" s="714"/>
      <c r="D33" s="714"/>
      <c r="E33" s="714"/>
      <c r="F33" s="715"/>
      <c r="G33" s="704" t="s">
        <v>647</v>
      </c>
      <c r="H33" s="705"/>
      <c r="I33" s="705"/>
      <c r="J33" s="705"/>
      <c r="K33" s="705"/>
      <c r="L33" s="705"/>
      <c r="M33" s="705"/>
      <c r="N33" s="706"/>
    </row>
    <row r="34" spans="1:14" s="19" customFormat="1" ht="28.5" customHeight="1">
      <c r="A34" s="325" t="str">
        <f>+IF(K19&gt;0,K18,"")</f>
        <v>sep</v>
      </c>
      <c r="B34" s="713" t="s">
        <v>646</v>
      </c>
      <c r="C34" s="714"/>
      <c r="D34" s="714"/>
      <c r="E34" s="714"/>
      <c r="F34" s="715"/>
      <c r="G34" s="704" t="s">
        <v>647</v>
      </c>
      <c r="H34" s="705"/>
      <c r="I34" s="705"/>
      <c r="J34" s="705"/>
      <c r="K34" s="705"/>
      <c r="L34" s="705"/>
      <c r="M34" s="705"/>
      <c r="N34" s="706"/>
    </row>
    <row r="35" spans="1:14" s="19" customFormat="1" ht="28.5" customHeight="1">
      <c r="A35" s="325" t="str">
        <f>+IF(L19&gt;0,L18,"")</f>
        <v>oct</v>
      </c>
      <c r="B35" s="713"/>
      <c r="C35" s="714"/>
      <c r="D35" s="714"/>
      <c r="E35" s="714"/>
      <c r="F35" s="715"/>
      <c r="G35" s="704"/>
      <c r="H35" s="705"/>
      <c r="I35" s="705"/>
      <c r="J35" s="705"/>
      <c r="K35" s="705"/>
      <c r="L35" s="705"/>
      <c r="M35" s="705"/>
      <c r="N35" s="706"/>
    </row>
    <row r="36" spans="1:14" s="19" customFormat="1" ht="28.5" customHeight="1">
      <c r="A36" s="325" t="str">
        <f>+IF(M19&gt;0,M18,"")</f>
        <v>nov</v>
      </c>
      <c r="B36" s="713"/>
      <c r="C36" s="714"/>
      <c r="D36" s="714"/>
      <c r="E36" s="714"/>
      <c r="F36" s="715"/>
      <c r="G36" s="704"/>
      <c r="H36" s="705"/>
      <c r="I36" s="705"/>
      <c r="J36" s="705"/>
      <c r="K36" s="705"/>
      <c r="L36" s="705"/>
      <c r="M36" s="705"/>
      <c r="N36" s="706"/>
    </row>
    <row r="37" spans="1:14" s="19" customFormat="1" ht="30" customHeight="1">
      <c r="A37" s="325" t="str">
        <f>+IF(N19&gt;0,N18,"")</f>
        <v>dic</v>
      </c>
      <c r="B37" s="713"/>
      <c r="C37" s="714"/>
      <c r="D37" s="714"/>
      <c r="E37" s="714"/>
      <c r="F37" s="715"/>
      <c r="G37" s="704"/>
      <c r="H37" s="705"/>
      <c r="I37" s="705"/>
      <c r="J37" s="705"/>
      <c r="K37" s="705"/>
      <c r="L37" s="705"/>
      <c r="M37" s="705"/>
      <c r="N37" s="706"/>
    </row>
    <row r="38" spans="1:14" s="19" customFormat="1" ht="30" customHeight="1">
      <c r="A38" s="325" t="s">
        <v>130</v>
      </c>
      <c r="B38" s="713"/>
      <c r="C38" s="714"/>
      <c r="D38" s="714"/>
      <c r="E38" s="714"/>
      <c r="F38" s="715"/>
      <c r="G38" s="704"/>
      <c r="H38" s="705"/>
      <c r="I38" s="705"/>
      <c r="J38" s="705"/>
      <c r="K38" s="705"/>
      <c r="L38" s="705"/>
      <c r="M38" s="705"/>
      <c r="N38" s="706"/>
    </row>
    <row r="40" spans="1:14" s="277" customFormat="1" ht="44.25" customHeight="1">
      <c r="A40" s="276" t="s">
        <v>271</v>
      </c>
      <c r="B40" s="276" t="s">
        <v>129</v>
      </c>
      <c r="C40" s="276" t="s">
        <v>272</v>
      </c>
      <c r="D40" s="276" t="s">
        <v>273</v>
      </c>
      <c r="E40" s="276" t="s">
        <v>274</v>
      </c>
      <c r="F40" s="276" t="s">
        <v>275</v>
      </c>
      <c r="G40" s="276" t="s">
        <v>116</v>
      </c>
      <c r="H40" s="276" t="s">
        <v>276</v>
      </c>
      <c r="I40" s="276" t="s">
        <v>277</v>
      </c>
      <c r="J40" s="276" t="s">
        <v>450</v>
      </c>
      <c r="K40" s="276" t="s">
        <v>462</v>
      </c>
      <c r="L40" s="276" t="s">
        <v>463</v>
      </c>
      <c r="M40" s="276" t="s">
        <v>152</v>
      </c>
    </row>
    <row r="41" spans="1:14">
      <c r="A41" s="710">
        <v>2022</v>
      </c>
      <c r="B41" s="697" t="s">
        <v>278</v>
      </c>
      <c r="C41" s="89">
        <v>1</v>
      </c>
      <c r="D41" s="89">
        <v>1002</v>
      </c>
      <c r="E41" s="322" t="s">
        <v>304</v>
      </c>
      <c r="F41" s="322" t="s">
        <v>305</v>
      </c>
      <c r="G41" s="323">
        <v>44573</v>
      </c>
      <c r="H41" s="322">
        <v>35</v>
      </c>
      <c r="I41" s="322">
        <f>0.703*35</f>
        <v>24.604999999999997</v>
      </c>
      <c r="J41" s="693">
        <f>AVERAGE(I41,,I42,I43,I44,I45,I46)</f>
        <v>22.553571428571427</v>
      </c>
      <c r="K41" s="692">
        <v>6</v>
      </c>
      <c r="L41" s="692">
        <v>6</v>
      </c>
      <c r="M41" s="688">
        <f>(K41/L41)*100%</f>
        <v>1</v>
      </c>
    </row>
    <row r="42" spans="1:14">
      <c r="A42" s="711"/>
      <c r="B42" s="698"/>
      <c r="C42" s="89">
        <v>2</v>
      </c>
      <c r="D42" s="89">
        <v>1003</v>
      </c>
      <c r="E42" s="322" t="s">
        <v>306</v>
      </c>
      <c r="F42" s="322" t="s">
        <v>307</v>
      </c>
      <c r="G42" s="323">
        <v>44575</v>
      </c>
      <c r="H42" s="322">
        <v>35</v>
      </c>
      <c r="I42" s="322">
        <f>0.703*35</f>
        <v>24.604999999999997</v>
      </c>
      <c r="J42" s="693"/>
      <c r="K42" s="692"/>
      <c r="L42" s="692"/>
      <c r="M42" s="688"/>
    </row>
    <row r="43" spans="1:14">
      <c r="A43" s="711"/>
      <c r="B43" s="698"/>
      <c r="C43" s="89">
        <v>3</v>
      </c>
      <c r="D43" s="89">
        <v>1004</v>
      </c>
      <c r="E43" s="322" t="s">
        <v>308</v>
      </c>
      <c r="F43" s="322" t="s">
        <v>309</v>
      </c>
      <c r="G43" s="323">
        <v>44579</v>
      </c>
      <c r="H43" s="322">
        <v>48</v>
      </c>
      <c r="I43" s="322">
        <f>0.703*48</f>
        <v>33.744</v>
      </c>
      <c r="J43" s="693"/>
      <c r="K43" s="692"/>
      <c r="L43" s="692"/>
      <c r="M43" s="688"/>
    </row>
    <row r="44" spans="1:14">
      <c r="A44" s="711"/>
      <c r="B44" s="698"/>
      <c r="C44" s="89">
        <v>4</v>
      </c>
      <c r="D44" s="89">
        <v>1006</v>
      </c>
      <c r="E44" s="322" t="s">
        <v>310</v>
      </c>
      <c r="F44" s="322" t="s">
        <v>311</v>
      </c>
      <c r="G44" s="450">
        <v>44582</v>
      </c>
      <c r="H44" s="322">
        <v>37</v>
      </c>
      <c r="I44" s="322">
        <f>0.703*36</f>
        <v>25.308</v>
      </c>
      <c r="J44" s="693"/>
      <c r="K44" s="692"/>
      <c r="L44" s="692"/>
      <c r="M44" s="688"/>
    </row>
    <row r="45" spans="1:14">
      <c r="A45" s="711"/>
      <c r="B45" s="698"/>
      <c r="C45" s="89">
        <v>5</v>
      </c>
      <c r="D45" s="89">
        <v>1007</v>
      </c>
      <c r="E45" s="322" t="s">
        <v>312</v>
      </c>
      <c r="F45" s="322" t="s">
        <v>313</v>
      </c>
      <c r="G45" s="450">
        <v>44586</v>
      </c>
      <c r="H45" s="322">
        <v>35</v>
      </c>
      <c r="I45" s="322">
        <f>0.703*36</f>
        <v>25.308</v>
      </c>
      <c r="J45" s="693"/>
      <c r="K45" s="692"/>
      <c r="L45" s="692"/>
      <c r="M45" s="688"/>
    </row>
    <row r="46" spans="1:14">
      <c r="A46" s="711"/>
      <c r="B46" s="699"/>
      <c r="C46" s="89">
        <v>6</v>
      </c>
      <c r="D46" s="89">
        <v>1008</v>
      </c>
      <c r="E46" s="322" t="s">
        <v>304</v>
      </c>
      <c r="F46" s="322" t="s">
        <v>314</v>
      </c>
      <c r="G46" s="450">
        <v>44588</v>
      </c>
      <c r="H46" s="322">
        <v>36</v>
      </c>
      <c r="I46" s="322">
        <v>24.305</v>
      </c>
      <c r="J46" s="693"/>
      <c r="K46" s="692"/>
      <c r="L46" s="692"/>
      <c r="M46" s="688"/>
    </row>
    <row r="47" spans="1:14">
      <c r="A47" s="711"/>
      <c r="B47" s="697" t="s">
        <v>279</v>
      </c>
      <c r="C47" s="89">
        <v>1</v>
      </c>
      <c r="D47" s="89">
        <v>1002</v>
      </c>
      <c r="E47" s="322" t="s">
        <v>304</v>
      </c>
      <c r="F47" s="322" t="s">
        <v>305</v>
      </c>
      <c r="G47" s="323">
        <v>44595</v>
      </c>
      <c r="H47" s="322">
        <v>36</v>
      </c>
      <c r="I47" s="322">
        <f>0.703*36</f>
        <v>25.308</v>
      </c>
      <c r="J47" s="693">
        <f>AVERAGE(I47,,I48,I49,I50,I51,I52)</f>
        <v>22.897714285714283</v>
      </c>
      <c r="K47" s="692">
        <v>6</v>
      </c>
      <c r="L47" s="692">
        <v>6</v>
      </c>
      <c r="M47" s="688">
        <f>(K47/L47)*100%</f>
        <v>1</v>
      </c>
    </row>
    <row r="48" spans="1:14">
      <c r="A48" s="711"/>
      <c r="B48" s="698"/>
      <c r="C48" s="89">
        <v>2</v>
      </c>
      <c r="D48" s="89">
        <v>1003</v>
      </c>
      <c r="E48" s="322" t="s">
        <v>306</v>
      </c>
      <c r="F48" s="322" t="s">
        <v>307</v>
      </c>
      <c r="G48" s="323">
        <v>44600</v>
      </c>
      <c r="H48" s="322">
        <v>35</v>
      </c>
      <c r="I48" s="322">
        <f>0.703*35</f>
        <v>24.604999999999997</v>
      </c>
      <c r="J48" s="693"/>
      <c r="K48" s="692"/>
      <c r="L48" s="692"/>
      <c r="M48" s="688"/>
    </row>
    <row r="49" spans="1:13">
      <c r="A49" s="711"/>
      <c r="B49" s="698"/>
      <c r="C49" s="89">
        <v>3</v>
      </c>
      <c r="D49" s="89">
        <v>1004</v>
      </c>
      <c r="E49" s="322" t="s">
        <v>308</v>
      </c>
      <c r="F49" s="322" t="s">
        <v>309</v>
      </c>
      <c r="G49" s="323">
        <v>44610</v>
      </c>
      <c r="H49" s="322">
        <v>42</v>
      </c>
      <c r="I49" s="322">
        <f>0.703*42</f>
        <v>29.526</v>
      </c>
      <c r="J49" s="693"/>
      <c r="K49" s="692"/>
      <c r="L49" s="692"/>
      <c r="M49" s="688"/>
    </row>
    <row r="50" spans="1:13">
      <c r="A50" s="711"/>
      <c r="B50" s="698"/>
      <c r="C50" s="89">
        <v>4</v>
      </c>
      <c r="D50" s="89">
        <v>1006</v>
      </c>
      <c r="E50" s="322" t="s">
        <v>310</v>
      </c>
      <c r="F50" s="322" t="s">
        <v>311</v>
      </c>
      <c r="G50" s="450">
        <v>44609</v>
      </c>
      <c r="H50" s="322">
        <v>43</v>
      </c>
      <c r="I50" s="322">
        <f>0.703*43</f>
        <v>30.228999999999999</v>
      </c>
      <c r="J50" s="693"/>
      <c r="K50" s="692"/>
      <c r="L50" s="692"/>
      <c r="M50" s="688"/>
    </row>
    <row r="51" spans="1:13">
      <c r="A51" s="711"/>
      <c r="B51" s="698"/>
      <c r="C51" s="89">
        <v>5</v>
      </c>
      <c r="D51" s="89">
        <v>1007</v>
      </c>
      <c r="E51" s="322" t="s">
        <v>312</v>
      </c>
      <c r="F51" s="322" t="s">
        <v>313</v>
      </c>
      <c r="G51" s="450">
        <v>44614</v>
      </c>
      <c r="H51" s="322">
        <v>36</v>
      </c>
      <c r="I51" s="322">
        <f>0.703*36</f>
        <v>25.308</v>
      </c>
      <c r="J51" s="693"/>
      <c r="K51" s="692"/>
      <c r="L51" s="692"/>
      <c r="M51" s="688"/>
    </row>
    <row r="52" spans="1:13">
      <c r="A52" s="711"/>
      <c r="B52" s="699"/>
      <c r="C52" s="89">
        <v>6</v>
      </c>
      <c r="D52" s="89">
        <v>1008</v>
      </c>
      <c r="E52" s="322" t="s">
        <v>304</v>
      </c>
      <c r="F52" s="322" t="s">
        <v>314</v>
      </c>
      <c r="G52" s="450">
        <v>44617</v>
      </c>
      <c r="H52" s="322">
        <v>36</v>
      </c>
      <c r="I52" s="322">
        <f>0.703*36</f>
        <v>25.308</v>
      </c>
      <c r="J52" s="693"/>
      <c r="K52" s="692"/>
      <c r="L52" s="692"/>
      <c r="M52" s="688"/>
    </row>
    <row r="53" spans="1:13">
      <c r="A53" s="711"/>
      <c r="B53" s="697" t="s">
        <v>280</v>
      </c>
      <c r="C53" s="89">
        <v>1</v>
      </c>
      <c r="D53" s="89">
        <v>1002</v>
      </c>
      <c r="E53" s="322" t="s">
        <v>304</v>
      </c>
      <c r="F53" s="322" t="s">
        <v>305</v>
      </c>
      <c r="G53" s="323">
        <v>44623</v>
      </c>
      <c r="H53" s="322">
        <v>35</v>
      </c>
      <c r="I53" s="322">
        <f>0.703*35</f>
        <v>24.604999999999997</v>
      </c>
      <c r="J53" s="693">
        <f>AVERAGE(I53,,I54,I55,I56,I57,I58)</f>
        <v>24.203285714285716</v>
      </c>
      <c r="K53" s="692">
        <v>6</v>
      </c>
      <c r="L53" s="692">
        <v>6</v>
      </c>
      <c r="M53" s="685">
        <f>(K53/L53)*100%</f>
        <v>1</v>
      </c>
    </row>
    <row r="54" spans="1:13">
      <c r="A54" s="711"/>
      <c r="B54" s="698"/>
      <c r="C54" s="89">
        <v>2</v>
      </c>
      <c r="D54" s="89">
        <v>1003</v>
      </c>
      <c r="E54" s="322" t="s">
        <v>306</v>
      </c>
      <c r="F54" s="322" t="s">
        <v>307</v>
      </c>
      <c r="G54" s="323">
        <v>44628</v>
      </c>
      <c r="H54" s="322">
        <v>42</v>
      </c>
      <c r="I54" s="322">
        <f>0.703*42</f>
        <v>29.526</v>
      </c>
      <c r="J54" s="693"/>
      <c r="K54" s="692"/>
      <c r="L54" s="692"/>
      <c r="M54" s="686"/>
    </row>
    <row r="55" spans="1:13">
      <c r="A55" s="711"/>
      <c r="B55" s="698"/>
      <c r="C55" s="89">
        <v>3</v>
      </c>
      <c r="D55" s="89">
        <v>1004</v>
      </c>
      <c r="E55" s="322" t="s">
        <v>308</v>
      </c>
      <c r="F55" s="322" t="s">
        <v>309</v>
      </c>
      <c r="G55" s="323">
        <v>44636</v>
      </c>
      <c r="H55" s="322">
        <v>43</v>
      </c>
      <c r="I55" s="322">
        <f>0.703*43</f>
        <v>30.228999999999999</v>
      </c>
      <c r="J55" s="693"/>
      <c r="K55" s="692"/>
      <c r="L55" s="692"/>
      <c r="M55" s="686"/>
    </row>
    <row r="56" spans="1:13">
      <c r="A56" s="711"/>
      <c r="B56" s="698"/>
      <c r="C56" s="89">
        <v>4</v>
      </c>
      <c r="D56" s="89">
        <v>1006</v>
      </c>
      <c r="E56" s="322" t="s">
        <v>310</v>
      </c>
      <c r="F56" s="322" t="s">
        <v>311</v>
      </c>
      <c r="G56" s="450">
        <v>44638</v>
      </c>
      <c r="H56" s="322">
        <v>36</v>
      </c>
      <c r="I56" s="322">
        <f>0.703*36</f>
        <v>25.308</v>
      </c>
      <c r="J56" s="693"/>
      <c r="K56" s="692"/>
      <c r="L56" s="692"/>
      <c r="M56" s="686"/>
    </row>
    <row r="57" spans="1:13">
      <c r="A57" s="711"/>
      <c r="B57" s="698"/>
      <c r="C57" s="89">
        <v>5</v>
      </c>
      <c r="D57" s="89">
        <v>1007</v>
      </c>
      <c r="E57" s="322" t="s">
        <v>312</v>
      </c>
      <c r="F57" s="322" t="s">
        <v>313</v>
      </c>
      <c r="G57" s="450">
        <v>44643</v>
      </c>
      <c r="H57" s="322">
        <v>47</v>
      </c>
      <c r="I57" s="322">
        <f>0.703*47</f>
        <v>33.040999999999997</v>
      </c>
      <c r="J57" s="693"/>
      <c r="K57" s="692"/>
      <c r="L57" s="692"/>
      <c r="M57" s="686"/>
    </row>
    <row r="58" spans="1:13">
      <c r="A58" s="711"/>
      <c r="B58" s="699"/>
      <c r="C58" s="89">
        <v>6</v>
      </c>
      <c r="D58" s="89">
        <v>1008</v>
      </c>
      <c r="E58" s="322" t="s">
        <v>304</v>
      </c>
      <c r="F58" s="322" t="s">
        <v>314</v>
      </c>
      <c r="G58" s="450">
        <v>44649</v>
      </c>
      <c r="H58" s="322">
        <v>38</v>
      </c>
      <c r="I58" s="322">
        <f>0.703*38</f>
        <v>26.713999999999999</v>
      </c>
      <c r="J58" s="693"/>
      <c r="K58" s="692"/>
      <c r="L58" s="692"/>
      <c r="M58" s="687"/>
    </row>
    <row r="59" spans="1:13">
      <c r="A59" s="711"/>
      <c r="B59" s="716" t="s">
        <v>281</v>
      </c>
      <c r="C59" s="89">
        <v>1</v>
      </c>
      <c r="D59" s="89">
        <v>1002</v>
      </c>
      <c r="E59" s="322" t="s">
        <v>304</v>
      </c>
      <c r="F59" s="322" t="s">
        <v>305</v>
      </c>
      <c r="G59" s="323">
        <v>44658</v>
      </c>
      <c r="H59" s="322">
        <v>43</v>
      </c>
      <c r="I59" s="322">
        <f>0.703*43</f>
        <v>30.228999999999999</v>
      </c>
      <c r="J59" s="693">
        <f t="shared" ref="J59" si="0">AVERAGE(I59,,I60,I61,I62,I63,I64)</f>
        <v>23.39985714285714</v>
      </c>
      <c r="K59" s="692">
        <v>6</v>
      </c>
      <c r="L59" s="692">
        <v>6</v>
      </c>
      <c r="M59" s="685">
        <f>(K59/L59)*100%</f>
        <v>1</v>
      </c>
    </row>
    <row r="60" spans="1:13">
      <c r="A60" s="711"/>
      <c r="B60" s="717"/>
      <c r="C60" s="89">
        <v>2</v>
      </c>
      <c r="D60" s="89">
        <v>1003</v>
      </c>
      <c r="E60" s="322" t="s">
        <v>306</v>
      </c>
      <c r="F60" s="322" t="s">
        <v>307</v>
      </c>
      <c r="G60" s="323">
        <v>44663</v>
      </c>
      <c r="H60" s="322">
        <v>34</v>
      </c>
      <c r="I60" s="322">
        <f>0.703*34</f>
        <v>23.901999999999997</v>
      </c>
      <c r="J60" s="693"/>
      <c r="K60" s="692"/>
      <c r="L60" s="692"/>
      <c r="M60" s="686"/>
    </row>
    <row r="61" spans="1:13">
      <c r="A61" s="711"/>
      <c r="B61" s="717"/>
      <c r="C61" s="89">
        <v>3</v>
      </c>
      <c r="D61" s="89">
        <v>1004</v>
      </c>
      <c r="E61" s="322" t="s">
        <v>308</v>
      </c>
      <c r="F61" s="322" t="s">
        <v>309</v>
      </c>
      <c r="G61" s="323">
        <v>44669</v>
      </c>
      <c r="H61" s="322">
        <v>42</v>
      </c>
      <c r="I61" s="322">
        <f>0.703*42</f>
        <v>29.526</v>
      </c>
      <c r="J61" s="693"/>
      <c r="K61" s="692"/>
      <c r="L61" s="692"/>
      <c r="M61" s="686"/>
    </row>
    <row r="62" spans="1:13">
      <c r="A62" s="711"/>
      <c r="B62" s="717"/>
      <c r="C62" s="89">
        <v>4</v>
      </c>
      <c r="D62" s="89">
        <v>1006</v>
      </c>
      <c r="E62" s="322" t="s">
        <v>310</v>
      </c>
      <c r="F62" s="322" t="s">
        <v>311</v>
      </c>
      <c r="G62" s="450">
        <v>44671</v>
      </c>
      <c r="H62" s="322">
        <v>44</v>
      </c>
      <c r="I62" s="322">
        <f>0.703*44</f>
        <v>30.931999999999999</v>
      </c>
      <c r="J62" s="693"/>
      <c r="K62" s="692"/>
      <c r="L62" s="692"/>
      <c r="M62" s="686"/>
    </row>
    <row r="63" spans="1:13">
      <c r="A63" s="711"/>
      <c r="B63" s="717"/>
      <c r="C63" s="89">
        <v>5</v>
      </c>
      <c r="D63" s="89">
        <v>1007</v>
      </c>
      <c r="E63" s="322" t="s">
        <v>312</v>
      </c>
      <c r="F63" s="322" t="s">
        <v>313</v>
      </c>
      <c r="G63" s="450">
        <v>44672</v>
      </c>
      <c r="H63" s="322">
        <v>37</v>
      </c>
      <c r="I63" s="322">
        <f>0.703*36</f>
        <v>25.308</v>
      </c>
      <c r="J63" s="693"/>
      <c r="K63" s="692"/>
      <c r="L63" s="692"/>
      <c r="M63" s="686"/>
    </row>
    <row r="64" spans="1:13">
      <c r="A64" s="711"/>
      <c r="B64" s="718"/>
      <c r="C64" s="89">
        <v>6</v>
      </c>
      <c r="D64" s="89">
        <v>1008</v>
      </c>
      <c r="E64" s="322" t="s">
        <v>304</v>
      </c>
      <c r="F64" s="322" t="s">
        <v>314</v>
      </c>
      <c r="G64" s="450">
        <v>44676</v>
      </c>
      <c r="H64" s="322">
        <v>34</v>
      </c>
      <c r="I64" s="322">
        <f>0.703*34</f>
        <v>23.901999999999997</v>
      </c>
      <c r="J64" s="693"/>
      <c r="K64" s="692"/>
      <c r="L64" s="692"/>
      <c r="M64" s="687"/>
    </row>
    <row r="65" spans="1:13">
      <c r="A65" s="711"/>
      <c r="B65" s="697" t="s">
        <v>282</v>
      </c>
      <c r="C65" s="89">
        <v>1</v>
      </c>
      <c r="D65" s="89">
        <v>1002</v>
      </c>
      <c r="E65" s="322" t="s">
        <v>304</v>
      </c>
      <c r="F65" s="322" t="s">
        <v>305</v>
      </c>
      <c r="G65" s="323">
        <v>44685</v>
      </c>
      <c r="H65" s="322">
        <v>47</v>
      </c>
      <c r="I65" s="322">
        <f t="shared" ref="I65:I74" si="1">0.703*H65</f>
        <v>33.040999999999997</v>
      </c>
      <c r="J65" s="693">
        <f t="shared" ref="J65" si="2">AVERAGE(I65,,I66,I67,I68,I69,I70)</f>
        <v>23.701142857142855</v>
      </c>
      <c r="K65" s="689">
        <v>6</v>
      </c>
      <c r="L65" s="689">
        <v>6</v>
      </c>
      <c r="M65" s="685">
        <f t="shared" ref="M65" si="3">(K65/L65)*100%</f>
        <v>1</v>
      </c>
    </row>
    <row r="66" spans="1:13">
      <c r="A66" s="711"/>
      <c r="B66" s="698"/>
      <c r="C66" s="89">
        <v>2</v>
      </c>
      <c r="D66" s="89">
        <v>1003</v>
      </c>
      <c r="E66" s="322" t="s">
        <v>306</v>
      </c>
      <c r="F66" s="322" t="s">
        <v>307</v>
      </c>
      <c r="G66" s="323">
        <v>44691</v>
      </c>
      <c r="H66" s="322">
        <v>38</v>
      </c>
      <c r="I66" s="322">
        <f t="shared" si="1"/>
        <v>26.713999999999999</v>
      </c>
      <c r="J66" s="693"/>
      <c r="K66" s="690"/>
      <c r="L66" s="690"/>
      <c r="M66" s="686"/>
    </row>
    <row r="67" spans="1:13">
      <c r="A67" s="711"/>
      <c r="B67" s="698"/>
      <c r="C67" s="89">
        <v>3</v>
      </c>
      <c r="D67" s="89">
        <v>1004</v>
      </c>
      <c r="E67" s="322" t="s">
        <v>308</v>
      </c>
      <c r="F67" s="322" t="s">
        <v>309</v>
      </c>
      <c r="G67" s="323">
        <v>44694</v>
      </c>
      <c r="H67" s="322">
        <v>34</v>
      </c>
      <c r="I67" s="322">
        <f t="shared" si="1"/>
        <v>23.901999999999997</v>
      </c>
      <c r="J67" s="693"/>
      <c r="K67" s="690"/>
      <c r="L67" s="690"/>
      <c r="M67" s="686"/>
    </row>
    <row r="68" spans="1:13">
      <c r="A68" s="711"/>
      <c r="B68" s="698"/>
      <c r="C68" s="89">
        <v>4</v>
      </c>
      <c r="D68" s="89">
        <v>1006</v>
      </c>
      <c r="E68" s="322" t="s">
        <v>310</v>
      </c>
      <c r="F68" s="322" t="s">
        <v>311</v>
      </c>
      <c r="G68" s="450">
        <v>44698</v>
      </c>
      <c r="H68" s="322">
        <v>40</v>
      </c>
      <c r="I68" s="322">
        <f t="shared" si="1"/>
        <v>28.119999999999997</v>
      </c>
      <c r="J68" s="693"/>
      <c r="K68" s="690"/>
      <c r="L68" s="690"/>
      <c r="M68" s="686"/>
    </row>
    <row r="69" spans="1:13">
      <c r="A69" s="711"/>
      <c r="B69" s="698"/>
      <c r="C69" s="89">
        <v>5</v>
      </c>
      <c r="D69" s="89">
        <v>1007</v>
      </c>
      <c r="E69" s="322" t="s">
        <v>312</v>
      </c>
      <c r="F69" s="322" t="s">
        <v>313</v>
      </c>
      <c r="G69" s="450">
        <v>44705</v>
      </c>
      <c r="H69" s="322">
        <v>42</v>
      </c>
      <c r="I69" s="322">
        <f t="shared" si="1"/>
        <v>29.526</v>
      </c>
      <c r="J69" s="693"/>
      <c r="K69" s="690"/>
      <c r="L69" s="690"/>
      <c r="M69" s="686"/>
    </row>
    <row r="70" spans="1:13">
      <c r="A70" s="711"/>
      <c r="B70" s="699"/>
      <c r="C70" s="89">
        <v>6</v>
      </c>
      <c r="D70" s="89">
        <v>1008</v>
      </c>
      <c r="E70" s="322" t="s">
        <v>304</v>
      </c>
      <c r="F70" s="322" t="s">
        <v>314</v>
      </c>
      <c r="G70" s="450">
        <v>44708</v>
      </c>
      <c r="H70" s="322">
        <v>35</v>
      </c>
      <c r="I70" s="322">
        <f t="shared" si="1"/>
        <v>24.604999999999997</v>
      </c>
      <c r="J70" s="693"/>
      <c r="K70" s="691"/>
      <c r="L70" s="691"/>
      <c r="M70" s="687"/>
    </row>
    <row r="71" spans="1:13">
      <c r="A71" s="711"/>
      <c r="B71" s="694" t="s">
        <v>283</v>
      </c>
      <c r="C71" s="89">
        <v>1</v>
      </c>
      <c r="D71" s="89">
        <v>1002</v>
      </c>
      <c r="E71" s="322" t="s">
        <v>304</v>
      </c>
      <c r="F71" s="322" t="s">
        <v>305</v>
      </c>
      <c r="G71" s="323">
        <v>44720</v>
      </c>
      <c r="H71" s="322">
        <v>47</v>
      </c>
      <c r="I71" s="322">
        <f t="shared" si="1"/>
        <v>33.040999999999997</v>
      </c>
      <c r="J71" s="693">
        <f>AVERAGE(I71,,I72,I73,I74,I75,I76)</f>
        <v>24.504571428571428</v>
      </c>
      <c r="K71" s="689">
        <v>6</v>
      </c>
      <c r="L71" s="689">
        <v>6</v>
      </c>
      <c r="M71" s="685">
        <f t="shared" ref="M71" si="4">(K71/L71)*100%</f>
        <v>1</v>
      </c>
    </row>
    <row r="72" spans="1:13">
      <c r="A72" s="711"/>
      <c r="B72" s="695"/>
      <c r="C72" s="89">
        <v>2</v>
      </c>
      <c r="D72" s="89">
        <v>1003</v>
      </c>
      <c r="E72" s="322" t="s">
        <v>306</v>
      </c>
      <c r="F72" s="322" t="s">
        <v>307</v>
      </c>
      <c r="G72" s="323">
        <v>44722</v>
      </c>
      <c r="H72" s="322">
        <v>38</v>
      </c>
      <c r="I72" s="322">
        <f t="shared" si="1"/>
        <v>26.713999999999999</v>
      </c>
      <c r="J72" s="693"/>
      <c r="K72" s="690"/>
      <c r="L72" s="690"/>
      <c r="M72" s="686"/>
    </row>
    <row r="73" spans="1:13">
      <c r="A73" s="711"/>
      <c r="B73" s="695"/>
      <c r="C73" s="89">
        <v>3</v>
      </c>
      <c r="D73" s="89">
        <v>1004</v>
      </c>
      <c r="E73" s="322" t="s">
        <v>308</v>
      </c>
      <c r="F73" s="322" t="s">
        <v>309</v>
      </c>
      <c r="G73" s="323">
        <v>44727</v>
      </c>
      <c r="H73" s="322">
        <v>34</v>
      </c>
      <c r="I73" s="322">
        <f t="shared" si="1"/>
        <v>23.901999999999997</v>
      </c>
      <c r="J73" s="693"/>
      <c r="K73" s="690"/>
      <c r="L73" s="690"/>
      <c r="M73" s="686"/>
    </row>
    <row r="74" spans="1:13">
      <c r="A74" s="711"/>
      <c r="B74" s="695"/>
      <c r="C74" s="89">
        <v>4</v>
      </c>
      <c r="D74" s="89">
        <v>1006</v>
      </c>
      <c r="E74" s="322" t="s">
        <v>310</v>
      </c>
      <c r="F74" s="322" t="s">
        <v>311</v>
      </c>
      <c r="G74" s="450">
        <v>44734</v>
      </c>
      <c r="H74" s="322">
        <v>40</v>
      </c>
      <c r="I74" s="322">
        <f t="shared" si="1"/>
        <v>28.119999999999997</v>
      </c>
      <c r="J74" s="693"/>
      <c r="K74" s="690"/>
      <c r="L74" s="690"/>
      <c r="M74" s="686"/>
    </row>
    <row r="75" spans="1:13">
      <c r="A75" s="711"/>
      <c r="B75" s="695"/>
      <c r="C75" s="89">
        <v>5</v>
      </c>
      <c r="D75" s="89">
        <v>1007</v>
      </c>
      <c r="E75" s="322" t="s">
        <v>312</v>
      </c>
      <c r="F75" s="322" t="s">
        <v>313</v>
      </c>
      <c r="G75" s="450">
        <v>44740</v>
      </c>
      <c r="H75" s="322">
        <v>47</v>
      </c>
      <c r="I75" s="322">
        <f>0.703*47</f>
        <v>33.040999999999997</v>
      </c>
      <c r="J75" s="693"/>
      <c r="K75" s="690"/>
      <c r="L75" s="690"/>
      <c r="M75" s="686"/>
    </row>
    <row r="76" spans="1:13">
      <c r="A76" s="712"/>
      <c r="B76" s="696"/>
      <c r="C76" s="89">
        <v>6</v>
      </c>
      <c r="D76" s="89">
        <v>1008</v>
      </c>
      <c r="E76" s="322" t="s">
        <v>304</v>
      </c>
      <c r="F76" s="322" t="s">
        <v>314</v>
      </c>
      <c r="G76" s="450">
        <v>44742</v>
      </c>
      <c r="H76" s="322">
        <v>38</v>
      </c>
      <c r="I76" s="322">
        <f>0.703*38</f>
        <v>26.713999999999999</v>
      </c>
      <c r="J76" s="693"/>
      <c r="K76" s="691"/>
      <c r="L76" s="691"/>
      <c r="M76" s="687"/>
    </row>
    <row r="77" spans="1:13">
      <c r="B77" s="694" t="s">
        <v>286</v>
      </c>
      <c r="C77" s="89">
        <v>1</v>
      </c>
      <c r="D77" s="89">
        <v>1002</v>
      </c>
      <c r="E77" s="322" t="s">
        <v>304</v>
      </c>
      <c r="F77" s="322" t="s">
        <v>305</v>
      </c>
      <c r="G77" s="323">
        <v>44748</v>
      </c>
      <c r="H77" s="322">
        <v>38</v>
      </c>
      <c r="I77" s="322">
        <f>0.703*38</f>
        <v>26.713999999999999</v>
      </c>
      <c r="J77" s="693">
        <f t="shared" ref="J77" si="5">AVERAGE(I77,,I78,I79,I80,I81,I82)</f>
        <v>23.600714285714282</v>
      </c>
      <c r="K77" s="689">
        <v>6</v>
      </c>
      <c r="L77" s="689">
        <v>6</v>
      </c>
      <c r="M77" s="685">
        <f t="shared" ref="M77" si="6">(K77/L77)*100%</f>
        <v>1</v>
      </c>
    </row>
    <row r="78" spans="1:13">
      <c r="B78" s="695"/>
      <c r="C78" s="89">
        <v>2</v>
      </c>
      <c r="D78" s="89">
        <v>1003</v>
      </c>
      <c r="E78" s="322" t="s">
        <v>306</v>
      </c>
      <c r="F78" s="322" t="s">
        <v>307</v>
      </c>
      <c r="G78" s="323">
        <v>44754</v>
      </c>
      <c r="H78" s="322">
        <v>45</v>
      </c>
      <c r="I78" s="322">
        <f>0.703*45</f>
        <v>31.634999999999998</v>
      </c>
      <c r="J78" s="693"/>
      <c r="K78" s="690"/>
      <c r="L78" s="690"/>
      <c r="M78" s="686"/>
    </row>
    <row r="79" spans="1:13">
      <c r="B79" s="695"/>
      <c r="C79" s="89">
        <v>3</v>
      </c>
      <c r="D79" s="89">
        <v>1004</v>
      </c>
      <c r="E79" s="322" t="s">
        <v>308</v>
      </c>
      <c r="F79" s="322" t="s">
        <v>309</v>
      </c>
      <c r="G79" s="323">
        <v>44757</v>
      </c>
      <c r="H79" s="322">
        <v>42</v>
      </c>
      <c r="I79" s="322">
        <f>0.703*42</f>
        <v>29.526</v>
      </c>
      <c r="J79" s="693"/>
      <c r="K79" s="690"/>
      <c r="L79" s="690"/>
      <c r="M79" s="686"/>
    </row>
    <row r="80" spans="1:13">
      <c r="B80" s="695"/>
      <c r="C80" s="89">
        <v>4</v>
      </c>
      <c r="D80" s="89">
        <v>1006</v>
      </c>
      <c r="E80" s="322" t="s">
        <v>310</v>
      </c>
      <c r="F80" s="322" t="s">
        <v>311</v>
      </c>
      <c r="G80" s="450">
        <v>44761</v>
      </c>
      <c r="H80" s="322">
        <v>36</v>
      </c>
      <c r="I80" s="322">
        <f>0.703*36</f>
        <v>25.308</v>
      </c>
      <c r="J80" s="693"/>
      <c r="K80" s="690"/>
      <c r="L80" s="690"/>
      <c r="M80" s="686"/>
    </row>
    <row r="81" spans="2:13">
      <c r="B81" s="695"/>
      <c r="C81" s="89">
        <v>5</v>
      </c>
      <c r="D81" s="89">
        <v>1007</v>
      </c>
      <c r="E81" s="322" t="s">
        <v>312</v>
      </c>
      <c r="F81" s="322" t="s">
        <v>313</v>
      </c>
      <c r="G81" s="450">
        <v>44768</v>
      </c>
      <c r="H81" s="322">
        <v>34</v>
      </c>
      <c r="I81" s="322">
        <f>0.703*34</f>
        <v>23.901999999999997</v>
      </c>
      <c r="J81" s="693"/>
      <c r="K81" s="690"/>
      <c r="L81" s="690"/>
      <c r="M81" s="686"/>
    </row>
    <row r="82" spans="2:13">
      <c r="B82" s="696"/>
      <c r="C82" s="89">
        <v>6</v>
      </c>
      <c r="D82" s="89">
        <v>1008</v>
      </c>
      <c r="E82" s="322" t="s">
        <v>304</v>
      </c>
      <c r="F82" s="322" t="s">
        <v>314</v>
      </c>
      <c r="G82" s="450">
        <v>44771</v>
      </c>
      <c r="H82" s="322">
        <v>40</v>
      </c>
      <c r="I82" s="322">
        <f>0.703*40</f>
        <v>28.119999999999997</v>
      </c>
      <c r="J82" s="693"/>
      <c r="K82" s="691"/>
      <c r="L82" s="691"/>
      <c r="M82" s="687"/>
    </row>
    <row r="83" spans="2:13">
      <c r="B83" s="694" t="s">
        <v>287</v>
      </c>
      <c r="C83" s="89">
        <v>1</v>
      </c>
      <c r="D83" s="89">
        <v>1002</v>
      </c>
      <c r="E83" s="322" t="s">
        <v>304</v>
      </c>
      <c r="F83" s="322" t="s">
        <v>305</v>
      </c>
      <c r="G83" s="323">
        <v>44775</v>
      </c>
      <c r="H83" s="322">
        <v>35</v>
      </c>
      <c r="I83" s="322">
        <f>0.703*35</f>
        <v>24.604999999999997</v>
      </c>
      <c r="J83" s="693">
        <f t="shared" ref="J83" si="7">AVERAGE(I83,,I84,I85,I86,I87,I88)</f>
        <v>22.596428571428568</v>
      </c>
      <c r="K83" s="689">
        <v>6</v>
      </c>
      <c r="L83" s="689">
        <v>6</v>
      </c>
      <c r="M83" s="685">
        <f t="shared" ref="M83" si="8">(K83/L83)*100%</f>
        <v>1</v>
      </c>
    </row>
    <row r="84" spans="2:13">
      <c r="B84" s="695"/>
      <c r="C84" s="89">
        <v>2</v>
      </c>
      <c r="D84" s="89">
        <v>1003</v>
      </c>
      <c r="E84" s="322" t="s">
        <v>306</v>
      </c>
      <c r="F84" s="322" t="s">
        <v>307</v>
      </c>
      <c r="G84" s="323">
        <v>44781</v>
      </c>
      <c r="H84" s="322">
        <v>35</v>
      </c>
      <c r="I84" s="322">
        <f>0.703*35</f>
        <v>24.604999999999997</v>
      </c>
      <c r="J84" s="693"/>
      <c r="K84" s="690"/>
      <c r="L84" s="690"/>
      <c r="M84" s="686"/>
    </row>
    <row r="85" spans="2:13">
      <c r="B85" s="695"/>
      <c r="C85" s="89">
        <v>3</v>
      </c>
      <c r="D85" s="89">
        <v>1004</v>
      </c>
      <c r="E85" s="322" t="s">
        <v>308</v>
      </c>
      <c r="F85" s="322" t="s">
        <v>309</v>
      </c>
      <c r="G85" s="323">
        <v>44791</v>
      </c>
      <c r="H85" s="322">
        <v>48</v>
      </c>
      <c r="I85" s="322">
        <f>0.703*48</f>
        <v>33.744</v>
      </c>
      <c r="J85" s="693"/>
      <c r="K85" s="690"/>
      <c r="L85" s="690"/>
      <c r="M85" s="686"/>
    </row>
    <row r="86" spans="2:13">
      <c r="B86" s="695"/>
      <c r="C86" s="89">
        <v>4</v>
      </c>
      <c r="D86" s="89">
        <v>1006</v>
      </c>
      <c r="E86" s="322" t="s">
        <v>310</v>
      </c>
      <c r="F86" s="322" t="s">
        <v>311</v>
      </c>
      <c r="G86" s="450">
        <v>44796</v>
      </c>
      <c r="H86" s="322">
        <v>37</v>
      </c>
      <c r="I86" s="322">
        <f>0.703*36</f>
        <v>25.308</v>
      </c>
      <c r="J86" s="693"/>
      <c r="K86" s="690"/>
      <c r="L86" s="690"/>
      <c r="M86" s="686"/>
    </row>
    <row r="87" spans="2:13">
      <c r="B87" s="695"/>
      <c r="C87" s="89">
        <v>5</v>
      </c>
      <c r="D87" s="89">
        <v>1007</v>
      </c>
      <c r="E87" s="322" t="s">
        <v>312</v>
      </c>
      <c r="F87" s="322" t="s">
        <v>313</v>
      </c>
      <c r="G87" s="450">
        <v>44799</v>
      </c>
      <c r="H87" s="322">
        <v>35</v>
      </c>
      <c r="I87" s="322">
        <f>0.703*35</f>
        <v>24.604999999999997</v>
      </c>
      <c r="J87" s="693"/>
      <c r="K87" s="690"/>
      <c r="L87" s="690"/>
      <c r="M87" s="686"/>
    </row>
    <row r="88" spans="2:13">
      <c r="B88" s="696"/>
      <c r="C88" s="89">
        <v>6</v>
      </c>
      <c r="D88" s="89">
        <v>1008</v>
      </c>
      <c r="E88" s="322" t="s">
        <v>304</v>
      </c>
      <c r="F88" s="322" t="s">
        <v>314</v>
      </c>
      <c r="G88" s="450">
        <v>44804</v>
      </c>
      <c r="H88" s="322">
        <v>36</v>
      </c>
      <c r="I88" s="322">
        <f>0.703*36</f>
        <v>25.308</v>
      </c>
      <c r="J88" s="693"/>
      <c r="K88" s="691"/>
      <c r="L88" s="691"/>
      <c r="M88" s="687"/>
    </row>
    <row r="89" spans="2:13">
      <c r="B89" s="694" t="s">
        <v>288</v>
      </c>
      <c r="C89" s="89">
        <v>1</v>
      </c>
      <c r="D89" s="89">
        <v>1002</v>
      </c>
      <c r="E89" s="322" t="s">
        <v>304</v>
      </c>
      <c r="F89" s="322" t="s">
        <v>305</v>
      </c>
      <c r="G89" s="323">
        <v>44810</v>
      </c>
      <c r="H89" s="322">
        <v>36</v>
      </c>
      <c r="I89" s="322">
        <f>0.703*36</f>
        <v>25.308</v>
      </c>
      <c r="J89" s="693">
        <f t="shared" ref="J89" si="9">AVERAGE(I89,,I90,I91,I92,I93,I94)</f>
        <v>22.897714285714283</v>
      </c>
      <c r="K89" s="689">
        <v>6</v>
      </c>
      <c r="L89" s="689">
        <v>6</v>
      </c>
      <c r="M89" s="685">
        <f t="shared" ref="M89" si="10">(K89/L89)*100%</f>
        <v>1</v>
      </c>
    </row>
    <row r="90" spans="2:13">
      <c r="B90" s="695"/>
      <c r="C90" s="89">
        <v>2</v>
      </c>
      <c r="D90" s="89">
        <v>1003</v>
      </c>
      <c r="E90" s="322" t="s">
        <v>306</v>
      </c>
      <c r="F90" s="322" t="s">
        <v>307</v>
      </c>
      <c r="G90" s="323">
        <v>44813</v>
      </c>
      <c r="H90" s="322">
        <v>35</v>
      </c>
      <c r="I90" s="322">
        <f>0.703*35</f>
        <v>24.604999999999997</v>
      </c>
      <c r="J90" s="693"/>
      <c r="K90" s="690"/>
      <c r="L90" s="690"/>
      <c r="M90" s="686"/>
    </row>
    <row r="91" spans="2:13">
      <c r="B91" s="695"/>
      <c r="C91" s="89">
        <v>3</v>
      </c>
      <c r="D91" s="89">
        <v>1004</v>
      </c>
      <c r="E91" s="322" t="s">
        <v>308</v>
      </c>
      <c r="F91" s="322" t="s">
        <v>309</v>
      </c>
      <c r="G91" s="323">
        <v>44817</v>
      </c>
      <c r="H91" s="322">
        <v>42</v>
      </c>
      <c r="I91" s="322">
        <f>0.703*42</f>
        <v>29.526</v>
      </c>
      <c r="J91" s="693"/>
      <c r="K91" s="690"/>
      <c r="L91" s="690"/>
      <c r="M91" s="686"/>
    </row>
    <row r="92" spans="2:13">
      <c r="B92" s="695"/>
      <c r="C92" s="89">
        <v>4</v>
      </c>
      <c r="D92" s="89">
        <v>1006</v>
      </c>
      <c r="E92" s="322" t="s">
        <v>310</v>
      </c>
      <c r="F92" s="322" t="s">
        <v>311</v>
      </c>
      <c r="G92" s="450">
        <v>44824</v>
      </c>
      <c r="H92" s="322">
        <v>43</v>
      </c>
      <c r="I92" s="322">
        <f>0.703*43</f>
        <v>30.228999999999999</v>
      </c>
      <c r="J92" s="693"/>
      <c r="K92" s="690"/>
      <c r="L92" s="690"/>
      <c r="M92" s="686"/>
    </row>
    <row r="93" spans="2:13">
      <c r="B93" s="695"/>
      <c r="C93" s="89">
        <v>5</v>
      </c>
      <c r="D93" s="89">
        <v>1007</v>
      </c>
      <c r="E93" s="322" t="s">
        <v>312</v>
      </c>
      <c r="F93" s="322" t="s">
        <v>313</v>
      </c>
      <c r="G93" s="450">
        <v>44830</v>
      </c>
      <c r="H93" s="322">
        <v>36</v>
      </c>
      <c r="I93" s="322">
        <f>0.703*36</f>
        <v>25.308</v>
      </c>
      <c r="J93" s="693"/>
      <c r="K93" s="690"/>
      <c r="L93" s="690"/>
      <c r="M93" s="686"/>
    </row>
    <row r="94" spans="2:13">
      <c r="B94" s="696"/>
      <c r="C94" s="89">
        <v>6</v>
      </c>
      <c r="D94" s="89">
        <v>1008</v>
      </c>
      <c r="E94" s="322" t="s">
        <v>304</v>
      </c>
      <c r="F94" s="322" t="s">
        <v>314</v>
      </c>
      <c r="G94" s="450">
        <v>44833</v>
      </c>
      <c r="H94" s="322">
        <v>36</v>
      </c>
      <c r="I94" s="322">
        <f>0.703*36</f>
        <v>25.308</v>
      </c>
      <c r="J94" s="693"/>
      <c r="K94" s="691"/>
      <c r="L94" s="691"/>
      <c r="M94" s="687"/>
    </row>
    <row r="95" spans="2:13">
      <c r="B95" s="694" t="s">
        <v>289</v>
      </c>
      <c r="C95" s="89">
        <v>1</v>
      </c>
      <c r="D95" s="89">
        <v>1002</v>
      </c>
      <c r="E95" s="322" t="s">
        <v>304</v>
      </c>
      <c r="F95" s="322" t="s">
        <v>305</v>
      </c>
      <c r="G95" s="323"/>
      <c r="H95" s="322"/>
      <c r="I95" s="322"/>
      <c r="J95" s="693">
        <f t="shared" ref="J95" si="11">AVERAGE(I95,,I96,I97,I98,I99,I100)</f>
        <v>0</v>
      </c>
      <c r="K95" s="689"/>
      <c r="L95" s="689"/>
      <c r="M95" s="685" t="e">
        <f t="shared" ref="M95" si="12">(K95/L95)*100%</f>
        <v>#DIV/0!</v>
      </c>
    </row>
    <row r="96" spans="2:13">
      <c r="B96" s="695"/>
      <c r="C96" s="89">
        <v>2</v>
      </c>
      <c r="D96" s="89">
        <v>1003</v>
      </c>
      <c r="E96" s="322" t="s">
        <v>306</v>
      </c>
      <c r="F96" s="322" t="s">
        <v>307</v>
      </c>
      <c r="G96" s="323"/>
      <c r="H96" s="322"/>
      <c r="I96" s="322"/>
      <c r="J96" s="693"/>
      <c r="K96" s="690"/>
      <c r="L96" s="690"/>
      <c r="M96" s="686"/>
    </row>
    <row r="97" spans="2:13">
      <c r="B97" s="695"/>
      <c r="C97" s="89">
        <v>3</v>
      </c>
      <c r="D97" s="89">
        <v>1004</v>
      </c>
      <c r="E97" s="322" t="s">
        <v>308</v>
      </c>
      <c r="F97" s="322" t="s">
        <v>309</v>
      </c>
      <c r="G97" s="323"/>
      <c r="H97" s="322"/>
      <c r="I97" s="322"/>
      <c r="J97" s="693"/>
      <c r="K97" s="690"/>
      <c r="L97" s="690"/>
      <c r="M97" s="686"/>
    </row>
    <row r="98" spans="2:13">
      <c r="B98" s="695"/>
      <c r="C98" s="89">
        <v>4</v>
      </c>
      <c r="D98" s="89">
        <v>1006</v>
      </c>
      <c r="E98" s="322" t="s">
        <v>310</v>
      </c>
      <c r="F98" s="322" t="s">
        <v>311</v>
      </c>
      <c r="G98" s="450"/>
      <c r="H98" s="322"/>
      <c r="I98" s="322"/>
      <c r="J98" s="693"/>
      <c r="K98" s="690"/>
      <c r="L98" s="690"/>
      <c r="M98" s="686"/>
    </row>
    <row r="99" spans="2:13">
      <c r="B99" s="695"/>
      <c r="C99" s="89">
        <v>5</v>
      </c>
      <c r="D99" s="89">
        <v>1007</v>
      </c>
      <c r="E99" s="322" t="s">
        <v>312</v>
      </c>
      <c r="F99" s="322" t="s">
        <v>313</v>
      </c>
      <c r="G99" s="450"/>
      <c r="H99" s="322"/>
      <c r="I99" s="322"/>
      <c r="J99" s="693"/>
      <c r="K99" s="690"/>
      <c r="L99" s="690"/>
      <c r="M99" s="686"/>
    </row>
    <row r="100" spans="2:13">
      <c r="B100" s="696"/>
      <c r="C100" s="89">
        <v>6</v>
      </c>
      <c r="D100" s="89">
        <v>1008</v>
      </c>
      <c r="E100" s="322" t="s">
        <v>304</v>
      </c>
      <c r="F100" s="322" t="s">
        <v>314</v>
      </c>
      <c r="G100" s="450"/>
      <c r="H100" s="322"/>
      <c r="I100" s="322"/>
      <c r="J100" s="693"/>
      <c r="K100" s="691"/>
      <c r="L100" s="691"/>
      <c r="M100" s="687"/>
    </row>
    <row r="101" spans="2:13">
      <c r="B101" s="694" t="s">
        <v>290</v>
      </c>
      <c r="C101" s="89">
        <v>1</v>
      </c>
      <c r="D101" s="89">
        <v>1002</v>
      </c>
      <c r="E101" s="322" t="s">
        <v>304</v>
      </c>
      <c r="F101" s="322" t="s">
        <v>305</v>
      </c>
      <c r="G101" s="323"/>
      <c r="H101" s="322"/>
      <c r="I101" s="322"/>
      <c r="J101" s="693">
        <f t="shared" ref="J101" si="13">AVERAGE(I101,,I102,I103,I104,I105,I106)</f>
        <v>0</v>
      </c>
      <c r="K101" s="689"/>
      <c r="L101" s="689"/>
      <c r="M101" s="685" t="e">
        <f t="shared" ref="M101" si="14">(K101/L101)*100%</f>
        <v>#DIV/0!</v>
      </c>
    </row>
    <row r="102" spans="2:13">
      <c r="B102" s="695"/>
      <c r="C102" s="89">
        <v>2</v>
      </c>
      <c r="D102" s="89">
        <v>1003</v>
      </c>
      <c r="E102" s="322" t="s">
        <v>306</v>
      </c>
      <c r="F102" s="322" t="s">
        <v>307</v>
      </c>
      <c r="G102" s="323"/>
      <c r="H102" s="322"/>
      <c r="I102" s="322"/>
      <c r="J102" s="693"/>
      <c r="K102" s="690"/>
      <c r="L102" s="690"/>
      <c r="M102" s="686"/>
    </row>
    <row r="103" spans="2:13">
      <c r="B103" s="695"/>
      <c r="C103" s="89">
        <v>3</v>
      </c>
      <c r="D103" s="89">
        <v>1004</v>
      </c>
      <c r="E103" s="322" t="s">
        <v>308</v>
      </c>
      <c r="F103" s="322" t="s">
        <v>309</v>
      </c>
      <c r="G103" s="323"/>
      <c r="H103" s="322"/>
      <c r="I103" s="322"/>
      <c r="J103" s="693"/>
      <c r="K103" s="690"/>
      <c r="L103" s="690"/>
      <c r="M103" s="686"/>
    </row>
    <row r="104" spans="2:13">
      <c r="B104" s="695"/>
      <c r="C104" s="89">
        <v>4</v>
      </c>
      <c r="D104" s="89">
        <v>1006</v>
      </c>
      <c r="E104" s="322" t="s">
        <v>310</v>
      </c>
      <c r="F104" s="322" t="s">
        <v>311</v>
      </c>
      <c r="G104" s="450"/>
      <c r="H104" s="322"/>
      <c r="I104" s="322"/>
      <c r="J104" s="693"/>
      <c r="K104" s="690"/>
      <c r="L104" s="690"/>
      <c r="M104" s="686"/>
    </row>
    <row r="105" spans="2:13">
      <c r="B105" s="695"/>
      <c r="C105" s="89">
        <v>5</v>
      </c>
      <c r="D105" s="89">
        <v>1007</v>
      </c>
      <c r="E105" s="322" t="s">
        <v>312</v>
      </c>
      <c r="F105" s="322" t="s">
        <v>313</v>
      </c>
      <c r="G105" s="450"/>
      <c r="H105" s="322"/>
      <c r="I105" s="322"/>
      <c r="J105" s="693"/>
      <c r="K105" s="690"/>
      <c r="L105" s="690"/>
      <c r="M105" s="686"/>
    </row>
    <row r="106" spans="2:13">
      <c r="B106" s="696"/>
      <c r="C106" s="89">
        <v>6</v>
      </c>
      <c r="D106" s="89">
        <v>1008</v>
      </c>
      <c r="E106" s="322" t="s">
        <v>304</v>
      </c>
      <c r="F106" s="322" t="s">
        <v>314</v>
      </c>
      <c r="G106" s="450"/>
      <c r="H106" s="322"/>
      <c r="I106" s="322"/>
      <c r="J106" s="693"/>
      <c r="K106" s="691"/>
      <c r="L106" s="691"/>
      <c r="M106" s="687"/>
    </row>
    <row r="107" spans="2:13">
      <c r="B107" s="694" t="s">
        <v>291</v>
      </c>
      <c r="C107" s="89">
        <v>1</v>
      </c>
      <c r="D107" s="89">
        <v>1002</v>
      </c>
      <c r="E107" s="322" t="s">
        <v>304</v>
      </c>
      <c r="F107" s="322" t="s">
        <v>305</v>
      </c>
      <c r="G107" s="323"/>
      <c r="H107" s="322"/>
      <c r="I107" s="322"/>
      <c r="J107" s="693">
        <f t="shared" ref="J107" si="15">AVERAGE(I107,,I108,I109,I110,I111,I112)</f>
        <v>0</v>
      </c>
      <c r="K107" s="689"/>
      <c r="L107" s="689"/>
      <c r="M107" s="685" t="e">
        <f t="shared" ref="M107" si="16">(K107/L107)*100%</f>
        <v>#DIV/0!</v>
      </c>
    </row>
    <row r="108" spans="2:13">
      <c r="B108" s="695"/>
      <c r="C108" s="89">
        <v>2</v>
      </c>
      <c r="D108" s="89">
        <v>1003</v>
      </c>
      <c r="E108" s="322" t="s">
        <v>306</v>
      </c>
      <c r="F108" s="322" t="s">
        <v>307</v>
      </c>
      <c r="G108" s="323"/>
      <c r="H108" s="322"/>
      <c r="I108" s="322"/>
      <c r="J108" s="693"/>
      <c r="K108" s="690"/>
      <c r="L108" s="690"/>
      <c r="M108" s="686"/>
    </row>
    <row r="109" spans="2:13">
      <c r="B109" s="695"/>
      <c r="C109" s="89">
        <v>3</v>
      </c>
      <c r="D109" s="89">
        <v>1004</v>
      </c>
      <c r="E109" s="322" t="s">
        <v>308</v>
      </c>
      <c r="F109" s="322" t="s">
        <v>309</v>
      </c>
      <c r="G109" s="323"/>
      <c r="H109" s="322"/>
      <c r="I109" s="322"/>
      <c r="J109" s="693"/>
      <c r="K109" s="690"/>
      <c r="L109" s="690"/>
      <c r="M109" s="686"/>
    </row>
    <row r="110" spans="2:13">
      <c r="B110" s="695"/>
      <c r="C110" s="89">
        <v>4</v>
      </c>
      <c r="D110" s="89">
        <v>1006</v>
      </c>
      <c r="E110" s="322" t="s">
        <v>310</v>
      </c>
      <c r="F110" s="322" t="s">
        <v>311</v>
      </c>
      <c r="G110" s="450"/>
      <c r="H110" s="322"/>
      <c r="I110" s="322"/>
      <c r="J110" s="693"/>
      <c r="K110" s="690"/>
      <c r="L110" s="690"/>
      <c r="M110" s="686"/>
    </row>
    <row r="111" spans="2:13">
      <c r="B111" s="695"/>
      <c r="C111" s="89">
        <v>5</v>
      </c>
      <c r="D111" s="89">
        <v>1007</v>
      </c>
      <c r="E111" s="322" t="s">
        <v>312</v>
      </c>
      <c r="F111" s="322" t="s">
        <v>313</v>
      </c>
      <c r="G111" s="450"/>
      <c r="H111" s="322"/>
      <c r="I111" s="322"/>
      <c r="J111" s="693"/>
      <c r="K111" s="690"/>
      <c r="L111" s="690"/>
      <c r="M111" s="686"/>
    </row>
    <row r="112" spans="2:13">
      <c r="B112" s="696"/>
      <c r="C112" s="89">
        <v>6</v>
      </c>
      <c r="D112" s="89">
        <v>1008</v>
      </c>
      <c r="E112" s="322" t="s">
        <v>304</v>
      </c>
      <c r="F112" s="322" t="s">
        <v>314</v>
      </c>
      <c r="G112" s="450"/>
      <c r="H112" s="322"/>
      <c r="I112" s="322"/>
      <c r="J112" s="693"/>
      <c r="K112" s="691"/>
      <c r="L112" s="691"/>
      <c r="M112" s="687"/>
    </row>
  </sheetData>
  <sheetProtection formatCells="0" formatColumns="0" formatRows="0"/>
  <mergeCells count="107">
    <mergeCell ref="B38:F38"/>
    <mergeCell ref="G38:N38"/>
    <mergeCell ref="B47:B52"/>
    <mergeCell ref="B53:B58"/>
    <mergeCell ref="B59:B64"/>
    <mergeCell ref="A1:J4"/>
    <mergeCell ref="K1:L1"/>
    <mergeCell ref="M1:N1"/>
    <mergeCell ref="K2:L2"/>
    <mergeCell ref="M2:N2"/>
    <mergeCell ref="K3:L3"/>
    <mergeCell ref="M3:N3"/>
    <mergeCell ref="K4:L4"/>
    <mergeCell ref="M4:N4"/>
    <mergeCell ref="C6:N6"/>
    <mergeCell ref="C7:N7"/>
    <mergeCell ref="C9:N9"/>
    <mergeCell ref="C12:N12"/>
    <mergeCell ref="A13:B13"/>
    <mergeCell ref="C13:N13"/>
    <mergeCell ref="B37:F37"/>
    <mergeCell ref="G36:N36"/>
    <mergeCell ref="G37:N37"/>
    <mergeCell ref="G34:N34"/>
    <mergeCell ref="B32:F32"/>
    <mergeCell ref="B33:F33"/>
    <mergeCell ref="B34:F34"/>
    <mergeCell ref="B35:F35"/>
    <mergeCell ref="G35:N35"/>
    <mergeCell ref="B27:F27"/>
    <mergeCell ref="B28:F28"/>
    <mergeCell ref="G27:N27"/>
    <mergeCell ref="B26:F26"/>
    <mergeCell ref="G26:N26"/>
    <mergeCell ref="G28:N28"/>
    <mergeCell ref="B101:B106"/>
    <mergeCell ref="B107:B112"/>
    <mergeCell ref="B65:B70"/>
    <mergeCell ref="B71:B76"/>
    <mergeCell ref="B77:B82"/>
    <mergeCell ref="B83:B88"/>
    <mergeCell ref="B89:B94"/>
    <mergeCell ref="B95:B100"/>
    <mergeCell ref="C14:N14"/>
    <mergeCell ref="C15:N15"/>
    <mergeCell ref="A20:B20"/>
    <mergeCell ref="G33:N33"/>
    <mergeCell ref="G29:N29"/>
    <mergeCell ref="G30:N30"/>
    <mergeCell ref="G31:N31"/>
    <mergeCell ref="G32:N32"/>
    <mergeCell ref="A16:B16"/>
    <mergeCell ref="C16:N16"/>
    <mergeCell ref="A41:A76"/>
    <mergeCell ref="B41:B46"/>
    <mergeCell ref="B29:F29"/>
    <mergeCell ref="B30:F30"/>
    <mergeCell ref="B31:F31"/>
    <mergeCell ref="B36:F36"/>
    <mergeCell ref="J101:J106"/>
    <mergeCell ref="J107:J112"/>
    <mergeCell ref="J71:J76"/>
    <mergeCell ref="J77:J82"/>
    <mergeCell ref="J83:J88"/>
    <mergeCell ref="J89:J94"/>
    <mergeCell ref="J95:J100"/>
    <mergeCell ref="J41:J46"/>
    <mergeCell ref="J47:J52"/>
    <mergeCell ref="J53:J58"/>
    <mergeCell ref="J59:J64"/>
    <mergeCell ref="J65:J70"/>
    <mergeCell ref="K101:K106"/>
    <mergeCell ref="K107:K112"/>
    <mergeCell ref="L41:L46"/>
    <mergeCell ref="L47:L52"/>
    <mergeCell ref="L53:L58"/>
    <mergeCell ref="L59:L64"/>
    <mergeCell ref="L65:L70"/>
    <mergeCell ref="L71:L76"/>
    <mergeCell ref="L77:L82"/>
    <mergeCell ref="L83:L88"/>
    <mergeCell ref="L89:L94"/>
    <mergeCell ref="L95:L100"/>
    <mergeCell ref="L101:L106"/>
    <mergeCell ref="L107:L112"/>
    <mergeCell ref="K71:K76"/>
    <mergeCell ref="K77:K82"/>
    <mergeCell ref="K83:K88"/>
    <mergeCell ref="K89:K94"/>
    <mergeCell ref="K95:K100"/>
    <mergeCell ref="K41:K46"/>
    <mergeCell ref="K47:K52"/>
    <mergeCell ref="K53:K58"/>
    <mergeCell ref="K59:K64"/>
    <mergeCell ref="K65:K70"/>
    <mergeCell ref="M101:M106"/>
    <mergeCell ref="M107:M112"/>
    <mergeCell ref="M71:M76"/>
    <mergeCell ref="M77:M82"/>
    <mergeCell ref="M83:M88"/>
    <mergeCell ref="M89:M94"/>
    <mergeCell ref="M95:M100"/>
    <mergeCell ref="M41:M46"/>
    <mergeCell ref="M47:M52"/>
    <mergeCell ref="M53:M58"/>
    <mergeCell ref="M59:M64"/>
    <mergeCell ref="M65:M70"/>
  </mergeCells>
  <hyperlinks>
    <hyperlink ref="O5" location="'Matriz Sta Ana'!A1" display="Volver" xr:uid="{1AEEFDB7-4D7D-48C7-AC08-6AAF7CB82321}"/>
  </hyperlinks>
  <pageMargins left="0.7" right="0.7" top="0.75" bottom="0.75" header="0.3" footer="0.3"/>
  <pageSetup scale="60" fitToHeight="0" orientation="portrait" r:id="rId1"/>
  <rowBreaks count="1" manualBreakCount="1">
    <brk id="21" max="13" man="1"/>
  </rowBreaks>
  <drawing r:id="rId2"/>
  <legacyDrawing r:id="rId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A4FC11-FCD1-4DB6-A240-B7D2CDEE5A6A}">
  <sheetPr>
    <tabColor rgb="FFFFFFCC"/>
    <pageSetUpPr fitToPage="1"/>
  </sheetPr>
  <dimension ref="A1:Q48"/>
  <sheetViews>
    <sheetView view="pageBreakPreview" topLeftCell="A14" zoomScaleNormal="100" zoomScaleSheetLayoutView="100" workbookViewId="0">
      <selection activeCell="B24" sqref="B24:F24"/>
    </sheetView>
  </sheetViews>
  <sheetFormatPr baseColWidth="10" defaultColWidth="11.42578125" defaultRowHeight="16.5"/>
  <cols>
    <col min="1" max="1" width="7.42578125" style="5" customWidth="1"/>
    <col min="2" max="2" width="33.5703125" style="5" customWidth="1"/>
    <col min="3" max="3" width="9.5703125" style="4" customWidth="1"/>
    <col min="4" max="4" width="7.85546875" style="4" bestFit="1" customWidth="1"/>
    <col min="5" max="5" width="10.42578125" style="4" customWidth="1"/>
    <col min="6" max="6" width="9" style="4" customWidth="1"/>
    <col min="7" max="7" width="9.42578125" style="4" customWidth="1"/>
    <col min="8" max="8" width="8.5703125" style="4" customWidth="1"/>
    <col min="9" max="9" width="9" style="4" customWidth="1"/>
    <col min="10" max="11" width="8.28515625" style="4" customWidth="1"/>
    <col min="12" max="12" width="8.42578125" style="4" customWidth="1"/>
    <col min="13" max="13" width="8.5703125" style="4" customWidth="1"/>
    <col min="14" max="14" width="8" style="4" customWidth="1"/>
    <col min="15" max="15" width="24.5703125" style="4" customWidth="1"/>
    <col min="16" max="16" width="11.42578125" style="4"/>
    <col min="17" max="17" width="9.5703125" style="4" customWidth="1"/>
    <col min="18" max="16384" width="11.42578125" style="4"/>
  </cols>
  <sheetData>
    <row r="1" spans="1:17" ht="21.75" customHeight="1">
      <c r="A1" s="719" t="s">
        <v>113</v>
      </c>
      <c r="B1" s="720"/>
      <c r="C1" s="720"/>
      <c r="D1" s="720"/>
      <c r="E1" s="720"/>
      <c r="F1" s="720"/>
      <c r="G1" s="720"/>
      <c r="H1" s="720"/>
      <c r="I1" s="720"/>
      <c r="J1" s="721"/>
      <c r="K1" s="728" t="s">
        <v>114</v>
      </c>
      <c r="L1" s="729"/>
      <c r="M1" s="728"/>
      <c r="N1" s="729"/>
    </row>
    <row r="2" spans="1:17" ht="21.75" customHeight="1">
      <c r="A2" s="722"/>
      <c r="B2" s="723"/>
      <c r="C2" s="723"/>
      <c r="D2" s="723"/>
      <c r="E2" s="723"/>
      <c r="F2" s="723"/>
      <c r="G2" s="723"/>
      <c r="H2" s="723"/>
      <c r="I2" s="723"/>
      <c r="J2" s="724"/>
      <c r="K2" s="728" t="s">
        <v>115</v>
      </c>
      <c r="L2" s="729"/>
      <c r="M2" s="728">
        <v>0</v>
      </c>
      <c r="N2" s="729"/>
    </row>
    <row r="3" spans="1:17" ht="21.75" customHeight="1">
      <c r="A3" s="722"/>
      <c r="B3" s="723"/>
      <c r="C3" s="723"/>
      <c r="D3" s="723"/>
      <c r="E3" s="723"/>
      <c r="F3" s="723"/>
      <c r="G3" s="723"/>
      <c r="H3" s="723"/>
      <c r="I3" s="723"/>
      <c r="J3" s="724"/>
      <c r="K3" s="728" t="s">
        <v>116</v>
      </c>
      <c r="L3" s="729"/>
      <c r="M3" s="732">
        <v>43464</v>
      </c>
      <c r="N3" s="733"/>
    </row>
    <row r="4" spans="1:17" ht="21.75" customHeight="1">
      <c r="A4" s="725"/>
      <c r="B4" s="726"/>
      <c r="C4" s="726"/>
      <c r="D4" s="726"/>
      <c r="E4" s="726"/>
      <c r="F4" s="726"/>
      <c r="G4" s="726"/>
      <c r="H4" s="726"/>
      <c r="I4" s="726"/>
      <c r="J4" s="727"/>
      <c r="K4" s="728" t="s">
        <v>117</v>
      </c>
      <c r="L4" s="729"/>
      <c r="M4" s="732" t="s">
        <v>118</v>
      </c>
      <c r="N4" s="733"/>
      <c r="P4" s="235" t="s">
        <v>522</v>
      </c>
      <c r="Q4" s="235" t="s">
        <v>203</v>
      </c>
    </row>
    <row r="5" spans="1:17" ht="27.75" customHeight="1">
      <c r="A5" s="256"/>
      <c r="B5" s="256"/>
      <c r="C5" s="280"/>
      <c r="D5" s="280"/>
      <c r="E5" s="280"/>
      <c r="F5" s="280"/>
      <c r="G5" s="280"/>
      <c r="H5" s="280"/>
      <c r="I5" s="280"/>
      <c r="J5" s="280"/>
      <c r="K5" s="280"/>
      <c r="L5" s="280"/>
      <c r="M5" s="281"/>
      <c r="N5" s="282" t="s">
        <v>119</v>
      </c>
      <c r="O5" s="52" t="s">
        <v>120</v>
      </c>
      <c r="P5" s="235">
        <v>365</v>
      </c>
      <c r="Q5" s="346">
        <v>1</v>
      </c>
    </row>
    <row r="6" spans="1:17" ht="21" customHeight="1">
      <c r="A6" s="256" t="s">
        <v>121</v>
      </c>
      <c r="B6" s="256"/>
      <c r="C6" s="887" t="s">
        <v>498</v>
      </c>
      <c r="D6" s="887"/>
      <c r="E6" s="887"/>
      <c r="F6" s="887"/>
      <c r="G6" s="887"/>
      <c r="H6" s="887"/>
      <c r="I6" s="887"/>
      <c r="J6" s="887"/>
      <c r="K6" s="887"/>
      <c r="L6" s="887"/>
      <c r="M6" s="887"/>
      <c r="N6" s="887"/>
      <c r="P6" s="300">
        <v>30</v>
      </c>
      <c r="Q6" s="346">
        <v>1</v>
      </c>
    </row>
    <row r="7" spans="1:17" ht="33.75" customHeight="1">
      <c r="A7" s="256" t="s">
        <v>3</v>
      </c>
      <c r="B7" s="256"/>
      <c r="C7" s="888" t="s">
        <v>524</v>
      </c>
      <c r="D7" s="888"/>
      <c r="E7" s="888"/>
      <c r="F7" s="888"/>
      <c r="G7" s="888"/>
      <c r="H7" s="888"/>
      <c r="I7" s="888"/>
      <c r="J7" s="888"/>
      <c r="K7" s="888"/>
      <c r="L7" s="888"/>
      <c r="M7" s="888"/>
      <c r="N7" s="888"/>
      <c r="P7" s="235">
        <v>5</v>
      </c>
      <c r="Q7" s="346">
        <v>0.9</v>
      </c>
    </row>
    <row r="8" spans="1:17">
      <c r="A8" s="256" t="s">
        <v>122</v>
      </c>
      <c r="B8" s="256"/>
      <c r="C8" s="1040" t="s">
        <v>123</v>
      </c>
      <c r="D8" s="1040"/>
      <c r="E8" s="1040"/>
      <c r="F8" s="1040"/>
      <c r="G8" s="1040"/>
      <c r="H8" s="257"/>
      <c r="I8" s="257"/>
      <c r="J8" s="257"/>
      <c r="K8" s="257"/>
      <c r="L8" s="257"/>
      <c r="M8" s="257"/>
      <c r="N8" s="257"/>
      <c r="P8" s="235">
        <v>0</v>
      </c>
      <c r="Q8" s="346">
        <v>1</v>
      </c>
    </row>
    <row r="9" spans="1:17" ht="20.25" customHeight="1">
      <c r="A9" s="256" t="s">
        <v>124</v>
      </c>
      <c r="B9" s="256"/>
      <c r="C9" s="889" t="s">
        <v>697</v>
      </c>
      <c r="D9" s="890"/>
      <c r="E9" s="890"/>
      <c r="F9" s="890"/>
      <c r="G9" s="890"/>
      <c r="H9" s="890"/>
      <c r="I9" s="890"/>
      <c r="J9" s="890"/>
      <c r="K9" s="890"/>
      <c r="L9" s="890"/>
      <c r="M9" s="890"/>
      <c r="N9" s="890"/>
    </row>
    <row r="10" spans="1:17">
      <c r="A10" s="256" t="s">
        <v>5</v>
      </c>
      <c r="B10" s="256"/>
      <c r="C10" s="258" t="s">
        <v>499</v>
      </c>
      <c r="D10" s="258"/>
      <c r="E10" s="258"/>
      <c r="F10" s="258"/>
      <c r="G10" s="258"/>
      <c r="H10" s="258"/>
      <c r="I10" s="258"/>
      <c r="J10" s="258"/>
      <c r="K10" s="258"/>
      <c r="L10" s="258"/>
      <c r="M10" s="258"/>
      <c r="N10" s="258"/>
      <c r="P10" s="242">
        <f>1/30</f>
        <v>3.3333333333333333E-2</v>
      </c>
      <c r="Q10" s="242">
        <f>P10*30</f>
        <v>1</v>
      </c>
    </row>
    <row r="11" spans="1:17">
      <c r="A11" s="256" t="s">
        <v>6</v>
      </c>
      <c r="B11" s="256"/>
      <c r="C11" s="258" t="s">
        <v>396</v>
      </c>
      <c r="D11" s="258"/>
      <c r="E11" s="258"/>
      <c r="F11" s="258"/>
      <c r="G11" s="258"/>
      <c r="H11" s="258"/>
      <c r="I11" s="258"/>
      <c r="J11" s="258"/>
      <c r="K11" s="258"/>
      <c r="L11" s="258"/>
      <c r="M11" s="258"/>
      <c r="N11" s="258"/>
      <c r="Q11" s="157"/>
    </row>
    <row r="12" spans="1:17" ht="15.75" customHeight="1">
      <c r="A12" s="256" t="s">
        <v>7</v>
      </c>
      <c r="B12" s="256"/>
      <c r="C12" s="888" t="s">
        <v>502</v>
      </c>
      <c r="D12" s="888"/>
      <c r="E12" s="888"/>
      <c r="F12" s="888"/>
      <c r="G12" s="888"/>
      <c r="H12" s="888"/>
      <c r="I12" s="888"/>
      <c r="J12" s="888"/>
      <c r="K12" s="888"/>
      <c r="L12" s="888"/>
      <c r="M12" s="888"/>
      <c r="N12" s="888"/>
    </row>
    <row r="13" spans="1:17" ht="30" customHeight="1">
      <c r="A13" s="891" t="s">
        <v>125</v>
      </c>
      <c r="B13" s="891"/>
      <c r="C13" s="888" t="s">
        <v>369</v>
      </c>
      <c r="D13" s="888"/>
      <c r="E13" s="888"/>
      <c r="F13" s="888"/>
      <c r="G13" s="888"/>
      <c r="H13" s="888"/>
      <c r="I13" s="888"/>
      <c r="J13" s="888"/>
      <c r="K13" s="888"/>
      <c r="L13" s="888"/>
      <c r="M13" s="888"/>
      <c r="N13" s="888"/>
      <c r="P13" s="242">
        <f>10*P10</f>
        <v>0.33333333333333331</v>
      </c>
      <c r="Q13" s="244">
        <f>100%-P13</f>
        <v>0.66666666666666674</v>
      </c>
    </row>
    <row r="14" spans="1:17" ht="18.75" customHeight="1">
      <c r="A14" s="256" t="s">
        <v>127</v>
      </c>
      <c r="B14" s="256"/>
      <c r="C14" s="888" t="s">
        <v>527</v>
      </c>
      <c r="D14" s="888"/>
      <c r="E14" s="888"/>
      <c r="F14" s="888"/>
      <c r="G14" s="888"/>
      <c r="H14" s="888"/>
      <c r="I14" s="888"/>
      <c r="J14" s="888"/>
      <c r="K14" s="888"/>
      <c r="L14" s="888"/>
      <c r="M14" s="888"/>
      <c r="N14" s="888"/>
    </row>
    <row r="15" spans="1:17" ht="19.5" customHeight="1">
      <c r="A15" s="256" t="s">
        <v>10</v>
      </c>
      <c r="B15" s="256"/>
      <c r="C15" s="895" t="s">
        <v>357</v>
      </c>
      <c r="D15" s="895"/>
      <c r="E15" s="895"/>
      <c r="F15" s="895"/>
      <c r="G15" s="895"/>
      <c r="H15" s="895"/>
      <c r="I15" s="895"/>
      <c r="J15" s="895"/>
      <c r="K15" s="895"/>
      <c r="L15" s="895"/>
      <c r="M15" s="895"/>
      <c r="N15" s="895"/>
    </row>
    <row r="16" spans="1:17" ht="20.25" customHeight="1">
      <c r="A16" s="886" t="s">
        <v>443</v>
      </c>
      <c r="B16" s="886"/>
      <c r="C16" s="708"/>
      <c r="D16" s="709"/>
      <c r="E16" s="709"/>
      <c r="F16" s="709"/>
      <c r="G16" s="709"/>
      <c r="H16" s="709"/>
      <c r="I16" s="709"/>
      <c r="J16" s="709"/>
      <c r="K16" s="709"/>
      <c r="L16" s="709"/>
      <c r="M16" s="709"/>
      <c r="N16" s="709"/>
    </row>
    <row r="17" spans="1:14" ht="15" customHeight="1">
      <c r="A17" s="283"/>
      <c r="B17" s="283"/>
      <c r="C17" s="284"/>
      <c r="D17" s="284"/>
      <c r="E17" s="284"/>
      <c r="F17" s="284"/>
      <c r="G17" s="284"/>
      <c r="H17" s="284"/>
      <c r="I17" s="284"/>
      <c r="J17" s="256"/>
      <c r="K17" s="256"/>
      <c r="L17" s="256"/>
      <c r="M17" s="256"/>
      <c r="N17" s="256"/>
    </row>
    <row r="18" spans="1:14" ht="14.45" customHeight="1">
      <c r="A18" s="1045" t="s">
        <v>129</v>
      </c>
      <c r="B18" s="1046"/>
      <c r="C18" s="403" t="s">
        <v>130</v>
      </c>
      <c r="D18" s="403" t="s">
        <v>131</v>
      </c>
      <c r="E18" s="403" t="s">
        <v>132</v>
      </c>
      <c r="F18" s="403" t="s">
        <v>133</v>
      </c>
      <c r="G18" s="403" t="s">
        <v>134</v>
      </c>
      <c r="H18" s="403" t="s">
        <v>135</v>
      </c>
      <c r="I18" s="403" t="s">
        <v>136</v>
      </c>
      <c r="J18" s="403" t="s">
        <v>137</v>
      </c>
      <c r="K18" s="403" t="s">
        <v>138</v>
      </c>
      <c r="L18" s="403" t="s">
        <v>139</v>
      </c>
      <c r="M18" s="403" t="s">
        <v>140</v>
      </c>
      <c r="N18" s="403" t="s">
        <v>141</v>
      </c>
    </row>
    <row r="19" spans="1:14">
      <c r="A19" s="1047"/>
      <c r="B19" s="1048"/>
      <c r="C19" s="404">
        <v>1</v>
      </c>
      <c r="D19" s="404">
        <v>2</v>
      </c>
      <c r="E19" s="404">
        <v>3</v>
      </c>
      <c r="F19" s="404">
        <v>4</v>
      </c>
      <c r="G19" s="404">
        <v>5</v>
      </c>
      <c r="H19" s="404">
        <v>6</v>
      </c>
      <c r="I19" s="404">
        <v>7</v>
      </c>
      <c r="J19" s="404">
        <v>8</v>
      </c>
      <c r="K19" s="404">
        <v>9</v>
      </c>
      <c r="L19" s="404">
        <v>10</v>
      </c>
      <c r="M19" s="404">
        <v>11</v>
      </c>
      <c r="N19" s="404">
        <v>12</v>
      </c>
    </row>
    <row r="20" spans="1:14" ht="37.5" customHeight="1">
      <c r="A20" s="1049" t="s">
        <v>486</v>
      </c>
      <c r="B20" s="1050"/>
      <c r="C20" s="405">
        <v>0.38</v>
      </c>
      <c r="D20" s="405">
        <v>0.47</v>
      </c>
      <c r="E20" s="405">
        <v>0.91</v>
      </c>
      <c r="F20" s="405">
        <v>0.43</v>
      </c>
      <c r="G20" s="405">
        <f t="shared" ref="G20:K20" si="0">+G44</f>
        <v>1</v>
      </c>
      <c r="H20" s="405">
        <f t="shared" si="0"/>
        <v>1</v>
      </c>
      <c r="I20" s="405">
        <f t="shared" si="0"/>
        <v>1</v>
      </c>
      <c r="J20" s="405">
        <f t="shared" si="0"/>
        <v>1</v>
      </c>
      <c r="K20" s="405">
        <f t="shared" si="0"/>
        <v>1</v>
      </c>
      <c r="L20" s="405">
        <v>0</v>
      </c>
      <c r="M20" s="405">
        <v>0</v>
      </c>
      <c r="N20" s="405">
        <v>0</v>
      </c>
    </row>
    <row r="21" spans="1:14" ht="42" customHeight="1">
      <c r="A21" s="1043" t="s">
        <v>485</v>
      </c>
      <c r="B21" s="1044"/>
      <c r="C21" s="433">
        <v>0.66</v>
      </c>
      <c r="D21" s="433">
        <v>0.66</v>
      </c>
      <c r="E21" s="433">
        <v>0.66</v>
      </c>
      <c r="F21" s="433">
        <v>0.66</v>
      </c>
      <c r="G21" s="433">
        <v>0.66</v>
      </c>
      <c r="H21" s="433">
        <v>0.66</v>
      </c>
      <c r="I21" s="433">
        <v>0.66</v>
      </c>
      <c r="J21" s="433">
        <v>0.66</v>
      </c>
      <c r="K21" s="433">
        <v>0.66</v>
      </c>
      <c r="L21" s="433">
        <v>0.66</v>
      </c>
      <c r="M21" s="433">
        <v>0.66</v>
      </c>
      <c r="N21" s="433">
        <v>0.66</v>
      </c>
    </row>
    <row r="22" spans="1:14" s="19" customFormat="1" ht="207" customHeight="1">
      <c r="A22" s="1041" t="s">
        <v>487</v>
      </c>
      <c r="B22" s="1042"/>
      <c r="C22" s="407"/>
      <c r="D22" s="407"/>
      <c r="E22" s="407"/>
      <c r="F22" s="407"/>
      <c r="G22" s="407"/>
      <c r="H22" s="407"/>
      <c r="I22" s="407"/>
      <c r="J22" s="407"/>
      <c r="K22" s="407"/>
      <c r="L22" s="407"/>
      <c r="M22" s="407"/>
      <c r="N22" s="408"/>
    </row>
    <row r="23" spans="1:14" ht="7.5" customHeight="1">
      <c r="A23" s="256"/>
      <c r="B23" s="256"/>
      <c r="C23" s="280"/>
      <c r="D23" s="280"/>
      <c r="E23" s="280"/>
      <c r="F23" s="280"/>
      <c r="G23" s="280"/>
      <c r="H23" s="280"/>
      <c r="I23" s="280"/>
      <c r="J23" s="280"/>
      <c r="K23" s="280"/>
      <c r="L23" s="280"/>
      <c r="M23" s="280"/>
      <c r="N23" s="280"/>
    </row>
    <row r="24" spans="1:14" ht="25.5" customHeight="1">
      <c r="A24" s="558" t="s">
        <v>667</v>
      </c>
      <c r="B24" s="908" t="s">
        <v>145</v>
      </c>
      <c r="C24" s="908"/>
      <c r="D24" s="908"/>
      <c r="E24" s="908"/>
      <c r="F24" s="909"/>
      <c r="G24" s="911" t="s">
        <v>146</v>
      </c>
      <c r="H24" s="908"/>
      <c r="I24" s="908"/>
      <c r="J24" s="908"/>
      <c r="K24" s="908"/>
      <c r="L24" s="908"/>
      <c r="M24" s="908"/>
      <c r="N24" s="909"/>
    </row>
    <row r="25" spans="1:14" ht="25.5" customHeight="1">
      <c r="A25" s="358" t="str">
        <f>+IF(C19&gt;0,C18,"")</f>
        <v>ene</v>
      </c>
      <c r="B25" s="900" t="s">
        <v>668</v>
      </c>
      <c r="C25" s="900"/>
      <c r="D25" s="900"/>
      <c r="E25" s="900"/>
      <c r="F25" s="901"/>
      <c r="G25" s="902" t="s">
        <v>673</v>
      </c>
      <c r="H25" s="903"/>
      <c r="I25" s="903"/>
      <c r="J25" s="903"/>
      <c r="K25" s="903"/>
      <c r="L25" s="903"/>
      <c r="M25" s="903"/>
      <c r="N25" s="904"/>
    </row>
    <row r="26" spans="1:14" s="19" customFormat="1" ht="28.5" customHeight="1">
      <c r="A26" s="359" t="str">
        <f>+IF(D19&gt;0,D18,"")</f>
        <v>feb</v>
      </c>
      <c r="B26" s="900" t="s">
        <v>669</v>
      </c>
      <c r="C26" s="900"/>
      <c r="D26" s="900"/>
      <c r="E26" s="900"/>
      <c r="F26" s="901"/>
      <c r="G26" s="917" t="s">
        <v>673</v>
      </c>
      <c r="H26" s="915"/>
      <c r="I26" s="915"/>
      <c r="J26" s="915"/>
      <c r="K26" s="915"/>
      <c r="L26" s="915"/>
      <c r="M26" s="915"/>
      <c r="N26" s="916"/>
    </row>
    <row r="27" spans="1:14" s="203" customFormat="1" ht="57" customHeight="1">
      <c r="A27" s="359" t="str">
        <f>+IF(E19&gt;0,E18,"")</f>
        <v>mar</v>
      </c>
      <c r="B27" s="900" t="s">
        <v>670</v>
      </c>
      <c r="C27" s="900"/>
      <c r="D27" s="900"/>
      <c r="E27" s="900"/>
      <c r="F27" s="901"/>
      <c r="G27" s="917" t="s">
        <v>709</v>
      </c>
      <c r="H27" s="915"/>
      <c r="I27" s="915"/>
      <c r="J27" s="915"/>
      <c r="K27" s="915"/>
      <c r="L27" s="915"/>
      <c r="M27" s="915"/>
      <c r="N27" s="916"/>
    </row>
    <row r="28" spans="1:14" s="19" customFormat="1" ht="30" customHeight="1">
      <c r="A28" s="359" t="str">
        <f>+IF(F19&gt;0,F18,"")</f>
        <v>abr</v>
      </c>
      <c r="B28" s="900" t="s">
        <v>671</v>
      </c>
      <c r="C28" s="900"/>
      <c r="D28" s="900"/>
      <c r="E28" s="900"/>
      <c r="F28" s="901"/>
      <c r="G28" s="917" t="s">
        <v>674</v>
      </c>
      <c r="H28" s="915"/>
      <c r="I28" s="915"/>
      <c r="J28" s="915"/>
      <c r="K28" s="915"/>
      <c r="L28" s="915"/>
      <c r="M28" s="915"/>
      <c r="N28" s="916"/>
    </row>
    <row r="29" spans="1:14" s="19" customFormat="1" ht="30" customHeight="1">
      <c r="A29" s="359" t="str">
        <f>+IF(G19&gt;0,G18,"")</f>
        <v>may</v>
      </c>
      <c r="B29" s="914" t="s">
        <v>708</v>
      </c>
      <c r="C29" s="915"/>
      <c r="D29" s="915"/>
      <c r="E29" s="915"/>
      <c r="F29" s="916"/>
      <c r="G29" s="917" t="s">
        <v>663</v>
      </c>
      <c r="H29" s="915"/>
      <c r="I29" s="915"/>
      <c r="J29" s="915"/>
      <c r="K29" s="915"/>
      <c r="L29" s="915"/>
      <c r="M29" s="915"/>
      <c r="N29" s="916"/>
    </row>
    <row r="30" spans="1:14" s="19" customFormat="1" ht="28.5" customHeight="1">
      <c r="A30" s="359" t="str">
        <f>+IF(H19&gt;0,H18,"")</f>
        <v>jun</v>
      </c>
      <c r="B30" s="914" t="s">
        <v>708</v>
      </c>
      <c r="C30" s="915"/>
      <c r="D30" s="915"/>
      <c r="E30" s="915"/>
      <c r="F30" s="916"/>
      <c r="G30" s="917" t="s">
        <v>663</v>
      </c>
      <c r="H30" s="915"/>
      <c r="I30" s="915"/>
      <c r="J30" s="915"/>
      <c r="K30" s="915"/>
      <c r="L30" s="915"/>
      <c r="M30" s="915"/>
      <c r="N30" s="916"/>
    </row>
    <row r="31" spans="1:14" s="19" customFormat="1" ht="34.5" customHeight="1">
      <c r="A31" s="359" t="str">
        <f>+IF(I19&gt;0,I18,"")</f>
        <v>jul</v>
      </c>
      <c r="B31" s="914" t="s">
        <v>708</v>
      </c>
      <c r="C31" s="915"/>
      <c r="D31" s="915"/>
      <c r="E31" s="915"/>
      <c r="F31" s="916"/>
      <c r="G31" s="917" t="s">
        <v>663</v>
      </c>
      <c r="H31" s="915"/>
      <c r="I31" s="915"/>
      <c r="J31" s="915"/>
      <c r="K31" s="915"/>
      <c r="L31" s="915"/>
      <c r="M31" s="915"/>
      <c r="N31" s="916"/>
    </row>
    <row r="32" spans="1:14" s="19" customFormat="1" ht="33.75" customHeight="1">
      <c r="A32" s="359" t="str">
        <f>+IF(J19&gt;0,J18,"")</f>
        <v>ago</v>
      </c>
      <c r="B32" s="914" t="s">
        <v>708</v>
      </c>
      <c r="C32" s="915"/>
      <c r="D32" s="915"/>
      <c r="E32" s="915"/>
      <c r="F32" s="916"/>
      <c r="G32" s="917" t="s">
        <v>663</v>
      </c>
      <c r="H32" s="915"/>
      <c r="I32" s="915"/>
      <c r="J32" s="915"/>
      <c r="K32" s="915"/>
      <c r="L32" s="915"/>
      <c r="M32" s="915"/>
      <c r="N32" s="916"/>
    </row>
    <row r="33" spans="1:15" s="19" customFormat="1" ht="28.5" customHeight="1">
      <c r="A33" s="359" t="str">
        <f>+IF(K19&gt;0,K18,"")</f>
        <v>sep</v>
      </c>
      <c r="B33" s="914" t="s">
        <v>708</v>
      </c>
      <c r="C33" s="915"/>
      <c r="D33" s="915"/>
      <c r="E33" s="915"/>
      <c r="F33" s="916"/>
      <c r="G33" s="917" t="s">
        <v>663</v>
      </c>
      <c r="H33" s="915"/>
      <c r="I33" s="915"/>
      <c r="J33" s="915"/>
      <c r="K33" s="915"/>
      <c r="L33" s="915"/>
      <c r="M33" s="915"/>
      <c r="N33" s="916"/>
    </row>
    <row r="34" spans="1:15" s="19" customFormat="1" ht="26.45" customHeight="1">
      <c r="A34" s="359" t="str">
        <f>+IF(L19&gt;0,L18,"")</f>
        <v>oct</v>
      </c>
      <c r="B34" s="914"/>
      <c r="C34" s="915"/>
      <c r="D34" s="915"/>
      <c r="E34" s="915"/>
      <c r="F34" s="916"/>
      <c r="G34" s="917"/>
      <c r="H34" s="915"/>
      <c r="I34" s="915"/>
      <c r="J34" s="915"/>
      <c r="K34" s="915"/>
      <c r="L34" s="915"/>
      <c r="M34" s="915"/>
      <c r="N34" s="916"/>
    </row>
    <row r="35" spans="1:15" s="19" customFormat="1" ht="28.5" customHeight="1">
      <c r="A35" s="359" t="str">
        <f>+IF(M19&gt;0,M18,"")</f>
        <v>nov</v>
      </c>
      <c r="B35" s="914"/>
      <c r="C35" s="915"/>
      <c r="D35" s="915"/>
      <c r="E35" s="915"/>
      <c r="F35" s="916"/>
      <c r="G35" s="917"/>
      <c r="H35" s="915"/>
      <c r="I35" s="915"/>
      <c r="J35" s="915"/>
      <c r="K35" s="915"/>
      <c r="L35" s="915"/>
      <c r="M35" s="915"/>
      <c r="N35" s="916"/>
    </row>
    <row r="36" spans="1:15" s="19" customFormat="1" ht="28.5" customHeight="1">
      <c r="A36" s="360" t="str">
        <f>+IF(N19&gt;0,N18,"")</f>
        <v>dic</v>
      </c>
      <c r="B36" s="914"/>
      <c r="C36" s="915"/>
      <c r="D36" s="915"/>
      <c r="E36" s="915"/>
      <c r="F36" s="916"/>
      <c r="G36" s="917"/>
      <c r="H36" s="915"/>
      <c r="I36" s="915"/>
      <c r="J36" s="915"/>
      <c r="K36" s="915"/>
      <c r="L36" s="915"/>
      <c r="M36" s="915"/>
      <c r="N36" s="916"/>
    </row>
    <row r="37" spans="1:15" s="19" customFormat="1" ht="28.5" customHeight="1">
      <c r="A37" s="360" t="str">
        <f>+IF(N19&gt;0,N18,"")</f>
        <v>dic</v>
      </c>
      <c r="B37" s="914"/>
      <c r="C37" s="915"/>
      <c r="D37" s="915"/>
      <c r="E37" s="915"/>
      <c r="F37" s="916"/>
      <c r="G37" s="917"/>
      <c r="H37" s="915"/>
      <c r="I37" s="915"/>
      <c r="J37" s="915"/>
      <c r="K37" s="915"/>
      <c r="L37" s="915"/>
      <c r="M37" s="915"/>
      <c r="N37" s="916"/>
    </row>
    <row r="38" spans="1:15">
      <c r="A38" s="256"/>
      <c r="B38" s="256"/>
      <c r="C38" s="280"/>
      <c r="D38" s="280"/>
      <c r="E38" s="280"/>
      <c r="F38" s="280"/>
      <c r="G38" s="280"/>
      <c r="H38" s="280"/>
      <c r="I38" s="280"/>
      <c r="J38" s="280"/>
      <c r="K38" s="280"/>
      <c r="L38" s="280"/>
      <c r="M38" s="280"/>
      <c r="N38" s="280"/>
    </row>
    <row r="39" spans="1:15">
      <c r="A39" s="256"/>
      <c r="B39" s="409" t="s">
        <v>362</v>
      </c>
      <c r="C39" s="222" t="s">
        <v>212</v>
      </c>
      <c r="D39" s="222" t="s">
        <v>213</v>
      </c>
      <c r="E39" s="222" t="s">
        <v>214</v>
      </c>
      <c r="F39" s="222" t="s">
        <v>215</v>
      </c>
      <c r="G39" s="222" t="s">
        <v>216</v>
      </c>
      <c r="H39" s="222" t="s">
        <v>217</v>
      </c>
      <c r="I39" s="222" t="s">
        <v>218</v>
      </c>
      <c r="J39" s="222" t="s">
        <v>219</v>
      </c>
      <c r="K39" s="222" t="s">
        <v>220</v>
      </c>
      <c r="L39" s="222" t="s">
        <v>221</v>
      </c>
      <c r="M39" s="222" t="s">
        <v>222</v>
      </c>
      <c r="N39" s="222" t="s">
        <v>223</v>
      </c>
    </row>
    <row r="40" spans="1:15">
      <c r="A40" s="256"/>
      <c r="B40" s="409" t="s">
        <v>4</v>
      </c>
      <c r="C40" s="411" t="s">
        <v>698</v>
      </c>
      <c r="D40" s="411" t="s">
        <v>698</v>
      </c>
      <c r="E40" s="411" t="s">
        <v>698</v>
      </c>
      <c r="F40" s="411" t="s">
        <v>698</v>
      </c>
      <c r="G40" s="411" t="s">
        <v>698</v>
      </c>
      <c r="H40" s="411" t="s">
        <v>698</v>
      </c>
      <c r="I40" s="411" t="s">
        <v>698</v>
      </c>
      <c r="J40" s="411" t="s">
        <v>698</v>
      </c>
      <c r="K40" s="411" t="s">
        <v>698</v>
      </c>
      <c r="L40" s="411" t="s">
        <v>698</v>
      </c>
      <c r="M40" s="411" t="s">
        <v>698</v>
      </c>
      <c r="N40" s="411" t="s">
        <v>698</v>
      </c>
    </row>
    <row r="41" spans="1:15" ht="25.5">
      <c r="A41" s="256"/>
      <c r="B41" s="412" t="s">
        <v>501</v>
      </c>
      <c r="C41" s="443">
        <v>81</v>
      </c>
      <c r="D41" s="443">
        <v>60</v>
      </c>
      <c r="E41" s="443">
        <v>34</v>
      </c>
      <c r="F41" s="443">
        <v>13</v>
      </c>
      <c r="G41" s="443">
        <v>0</v>
      </c>
      <c r="H41" s="443">
        <v>0</v>
      </c>
      <c r="I41" s="443">
        <v>0</v>
      </c>
      <c r="J41" s="443">
        <v>0</v>
      </c>
      <c r="K41" s="443">
        <v>0</v>
      </c>
      <c r="L41" s="443"/>
      <c r="M41" s="443"/>
      <c r="N41" s="443"/>
    </row>
    <row r="42" spans="1:15" ht="25.5">
      <c r="A42" s="256"/>
      <c r="B42" s="412" t="s">
        <v>529</v>
      </c>
      <c r="C42" s="443">
        <v>31</v>
      </c>
      <c r="D42" s="443">
        <v>28</v>
      </c>
      <c r="E42" s="443">
        <v>31</v>
      </c>
      <c r="F42" s="443">
        <v>30</v>
      </c>
      <c r="G42" s="443">
        <v>30</v>
      </c>
      <c r="H42" s="443">
        <v>31</v>
      </c>
      <c r="I42" s="443">
        <v>31</v>
      </c>
      <c r="J42" s="443">
        <v>31</v>
      </c>
      <c r="K42" s="443">
        <v>30</v>
      </c>
      <c r="L42" s="443">
        <v>31</v>
      </c>
      <c r="M42" s="443">
        <v>30</v>
      </c>
      <c r="N42" s="443">
        <v>31</v>
      </c>
      <c r="O42" s="553" t="s">
        <v>639</v>
      </c>
    </row>
    <row r="43" spans="1:15" s="126" customFormat="1">
      <c r="A43" s="632"/>
      <c r="B43" s="633" t="s">
        <v>366</v>
      </c>
      <c r="C43" s="634">
        <f t="shared" ref="C43:N43" si="1">IFERROR((((C41/C42)*100%))-100%,"")</f>
        <v>1.6129032258064515</v>
      </c>
      <c r="D43" s="634">
        <f t="shared" si="1"/>
        <v>1.1428571428571428</v>
      </c>
      <c r="E43" s="634">
        <f t="shared" si="1"/>
        <v>9.6774193548387011E-2</v>
      </c>
      <c r="F43" s="634">
        <f t="shared" si="1"/>
        <v>-0.56666666666666665</v>
      </c>
      <c r="G43" s="634">
        <f t="shared" si="1"/>
        <v>-1</v>
      </c>
      <c r="H43" s="634">
        <f t="shared" si="1"/>
        <v>-1</v>
      </c>
      <c r="I43" s="634">
        <f t="shared" si="1"/>
        <v>-1</v>
      </c>
      <c r="J43" s="634">
        <f t="shared" si="1"/>
        <v>-1</v>
      </c>
      <c r="K43" s="634">
        <f t="shared" si="1"/>
        <v>-1</v>
      </c>
      <c r="L43" s="634">
        <f t="shared" si="1"/>
        <v>-1</v>
      </c>
      <c r="M43" s="634">
        <f t="shared" si="1"/>
        <v>-1</v>
      </c>
      <c r="N43" s="634">
        <f t="shared" si="1"/>
        <v>-1</v>
      </c>
      <c r="O43" s="635"/>
    </row>
    <row r="44" spans="1:15" s="126" customFormat="1">
      <c r="A44" s="632"/>
      <c r="B44" s="633" t="s">
        <v>366</v>
      </c>
      <c r="C44" s="634">
        <f>100%-C45</f>
        <v>0.61728395061728403</v>
      </c>
      <c r="D44" s="634">
        <f t="shared" ref="D44:K44" si="2">100%-D45</f>
        <v>0.53333333333333333</v>
      </c>
      <c r="E44" s="634">
        <f t="shared" si="2"/>
        <v>8.8235294117647078E-2</v>
      </c>
      <c r="F44" s="634">
        <f t="shared" si="2"/>
        <v>0.56666666666666665</v>
      </c>
      <c r="G44" s="634">
        <f t="shared" si="2"/>
        <v>1</v>
      </c>
      <c r="H44" s="634">
        <f t="shared" si="2"/>
        <v>1</v>
      </c>
      <c r="I44" s="634">
        <f t="shared" si="2"/>
        <v>1</v>
      </c>
      <c r="J44" s="634">
        <f t="shared" si="2"/>
        <v>1</v>
      </c>
      <c r="K44" s="634">
        <f t="shared" si="2"/>
        <v>1</v>
      </c>
      <c r="L44" s="634">
        <f>100%-L45</f>
        <v>1</v>
      </c>
      <c r="M44" s="636">
        <f t="shared" ref="M44:N44" si="3">100%-M45</f>
        <v>1</v>
      </c>
      <c r="N44" s="636">
        <f t="shared" si="3"/>
        <v>1</v>
      </c>
      <c r="O44" s="637">
        <f>AVERAGE(C44:N44)</f>
        <v>0.81712660372791091</v>
      </c>
    </row>
    <row r="45" spans="1:15" s="126" customFormat="1">
      <c r="A45" s="632"/>
      <c r="B45" s="638" t="s">
        <v>500</v>
      </c>
      <c r="C45" s="639">
        <f>IFERROR((C42/C41)*100%,"")</f>
        <v>0.38271604938271603</v>
      </c>
      <c r="D45" s="639">
        <f>IFERROR((D42/D41)*100%,"")</f>
        <v>0.46666666666666667</v>
      </c>
      <c r="E45" s="639">
        <f>IFERROR((E42/E41)*100%,"")</f>
        <v>0.91176470588235292</v>
      </c>
      <c r="F45" s="639">
        <f t="shared" ref="F45:N45" si="4">IFERROR((F41/F42)*100%,"")</f>
        <v>0.43333333333333335</v>
      </c>
      <c r="G45" s="639">
        <f t="shared" si="4"/>
        <v>0</v>
      </c>
      <c r="H45" s="639">
        <f t="shared" si="4"/>
        <v>0</v>
      </c>
      <c r="I45" s="639">
        <f t="shared" si="4"/>
        <v>0</v>
      </c>
      <c r="J45" s="639">
        <f t="shared" si="4"/>
        <v>0</v>
      </c>
      <c r="K45" s="639">
        <f t="shared" si="4"/>
        <v>0</v>
      </c>
      <c r="L45" s="639">
        <f>IFERROR((L41/L42)*100%,"")</f>
        <v>0</v>
      </c>
      <c r="M45" s="640">
        <f t="shared" si="4"/>
        <v>0</v>
      </c>
      <c r="N45" s="640">
        <f t="shared" si="4"/>
        <v>0</v>
      </c>
    </row>
    <row r="46" spans="1:15" s="126" customFormat="1">
      <c r="A46" s="641"/>
      <c r="B46" s="642" t="s">
        <v>400</v>
      </c>
      <c r="C46" s="643">
        <f t="shared" ref="C46:N46" si="5">IFERROR(C41/C42,"")</f>
        <v>2.6129032258064515</v>
      </c>
      <c r="D46" s="643">
        <f t="shared" si="5"/>
        <v>2.1428571428571428</v>
      </c>
      <c r="E46" s="643">
        <f t="shared" si="5"/>
        <v>1.096774193548387</v>
      </c>
      <c r="F46" s="643">
        <f t="shared" si="5"/>
        <v>0.43333333333333335</v>
      </c>
      <c r="G46" s="643">
        <f t="shared" si="5"/>
        <v>0</v>
      </c>
      <c r="H46" s="643">
        <f t="shared" si="5"/>
        <v>0</v>
      </c>
      <c r="I46" s="643">
        <f t="shared" si="5"/>
        <v>0</v>
      </c>
      <c r="J46" s="643">
        <f t="shared" si="5"/>
        <v>0</v>
      </c>
      <c r="K46" s="643">
        <f t="shared" si="5"/>
        <v>0</v>
      </c>
      <c r="L46" s="643">
        <f t="shared" si="5"/>
        <v>0</v>
      </c>
      <c r="M46" s="643">
        <f t="shared" si="5"/>
        <v>0</v>
      </c>
      <c r="N46" s="643">
        <f t="shared" si="5"/>
        <v>0</v>
      </c>
    </row>
    <row r="47" spans="1:15" s="126" customFormat="1">
      <c r="A47" s="641"/>
      <c r="B47" s="644" t="s">
        <v>401</v>
      </c>
      <c r="C47" s="645">
        <f t="shared" ref="C47:N47" si="6">IFERROR(1/C42,"")</f>
        <v>3.2258064516129031E-2</v>
      </c>
      <c r="D47" s="645">
        <f t="shared" si="6"/>
        <v>3.5714285714285712E-2</v>
      </c>
      <c r="E47" s="645">
        <f t="shared" si="6"/>
        <v>3.2258064516129031E-2</v>
      </c>
      <c r="F47" s="645">
        <f t="shared" si="6"/>
        <v>3.3333333333333333E-2</v>
      </c>
      <c r="G47" s="645">
        <f t="shared" si="6"/>
        <v>3.3333333333333333E-2</v>
      </c>
      <c r="H47" s="645">
        <f t="shared" si="6"/>
        <v>3.2258064516129031E-2</v>
      </c>
      <c r="I47" s="645">
        <f t="shared" si="6"/>
        <v>3.2258064516129031E-2</v>
      </c>
      <c r="J47" s="645">
        <f t="shared" si="6"/>
        <v>3.2258064516129031E-2</v>
      </c>
      <c r="K47" s="645">
        <f t="shared" si="6"/>
        <v>3.3333333333333333E-2</v>
      </c>
      <c r="L47" s="645">
        <f t="shared" si="6"/>
        <v>3.2258064516129031E-2</v>
      </c>
      <c r="M47" s="645">
        <f t="shared" si="6"/>
        <v>3.3333333333333333E-2</v>
      </c>
      <c r="N47" s="645">
        <f t="shared" si="6"/>
        <v>3.2258064516129031E-2</v>
      </c>
    </row>
    <row r="48" spans="1:15" s="126" customFormat="1">
      <c r="A48" s="641"/>
      <c r="B48" s="641"/>
    </row>
  </sheetData>
  <sheetProtection formatCells="0" formatColumns="0" formatRows="0"/>
  <mergeCells count="53">
    <mergeCell ref="A13:B13"/>
    <mergeCell ref="C13:N13"/>
    <mergeCell ref="A1:J4"/>
    <mergeCell ref="K1:L1"/>
    <mergeCell ref="M1:N1"/>
    <mergeCell ref="K2:L2"/>
    <mergeCell ref="M2:N2"/>
    <mergeCell ref="K3:L3"/>
    <mergeCell ref="M3:N3"/>
    <mergeCell ref="K4:L4"/>
    <mergeCell ref="M4:N4"/>
    <mergeCell ref="C6:N6"/>
    <mergeCell ref="C7:N7"/>
    <mergeCell ref="C8:G8"/>
    <mergeCell ref="C9:N9"/>
    <mergeCell ref="C12:N12"/>
    <mergeCell ref="B25:F25"/>
    <mergeCell ref="C14:N14"/>
    <mergeCell ref="C15:N15"/>
    <mergeCell ref="A16:B16"/>
    <mergeCell ref="A18:B18"/>
    <mergeCell ref="A19:B19"/>
    <mergeCell ref="A20:B20"/>
    <mergeCell ref="A21:B21"/>
    <mergeCell ref="A22:B22"/>
    <mergeCell ref="G24:N24"/>
    <mergeCell ref="C16:N16"/>
    <mergeCell ref="B24:F24"/>
    <mergeCell ref="G25:N25"/>
    <mergeCell ref="B26:F26"/>
    <mergeCell ref="G26:N26"/>
    <mergeCell ref="B27:F27"/>
    <mergeCell ref="G27:N27"/>
    <mergeCell ref="B28:F28"/>
    <mergeCell ref="G28:N28"/>
    <mergeCell ref="B29:F29"/>
    <mergeCell ref="G29:N29"/>
    <mergeCell ref="B30:F30"/>
    <mergeCell ref="G30:N30"/>
    <mergeCell ref="B31:F31"/>
    <mergeCell ref="G31:N31"/>
    <mergeCell ref="B32:F32"/>
    <mergeCell ref="G32:N32"/>
    <mergeCell ref="B33:F33"/>
    <mergeCell ref="G33:N33"/>
    <mergeCell ref="B34:F34"/>
    <mergeCell ref="G34:N34"/>
    <mergeCell ref="B35:F35"/>
    <mergeCell ref="G35:N35"/>
    <mergeCell ref="B36:F36"/>
    <mergeCell ref="G36:N36"/>
    <mergeCell ref="B37:F37"/>
    <mergeCell ref="G37:N37"/>
  </mergeCells>
  <hyperlinks>
    <hyperlink ref="O5" location="'Matriz Sta Ana'!A1" display="Volver" xr:uid="{F7B97FE6-E20D-499D-9C44-EE5B0780A72F}"/>
  </hyperlinks>
  <pageMargins left="0.7" right="0.7" top="0.75" bottom="0.75" header="0.3" footer="0.3"/>
  <pageSetup scale="61" fitToHeight="0" orientation="portrait" r:id="rId1"/>
  <rowBreaks count="1" manualBreakCount="1">
    <brk id="21" max="13" man="1"/>
  </rowBreaks>
  <drawing r:id="rId2"/>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B881E-CD51-4283-97A5-757174756D1C}">
  <sheetPr>
    <tabColor rgb="FFFF0000"/>
    <pageSetUpPr fitToPage="1"/>
  </sheetPr>
  <dimension ref="A1:XFB45"/>
  <sheetViews>
    <sheetView view="pageBreakPreview" zoomScaleNormal="100" zoomScaleSheetLayoutView="100" workbookViewId="0">
      <selection activeCell="C12" sqref="C12:N12"/>
    </sheetView>
  </sheetViews>
  <sheetFormatPr baseColWidth="10" defaultColWidth="0" defaultRowHeight="14.1" customHeight="1" zeroHeight="1"/>
  <cols>
    <col min="1" max="1" width="7.42578125" style="5" customWidth="1"/>
    <col min="2" max="2" width="33" style="5" customWidth="1"/>
    <col min="3" max="3" width="8.42578125" style="4" customWidth="1"/>
    <col min="4" max="4" width="7.140625" style="4" customWidth="1"/>
    <col min="5" max="5" width="7.42578125" style="4" customWidth="1"/>
    <col min="6" max="6" width="8.140625" style="4" customWidth="1"/>
    <col min="7" max="13" width="7.140625" style="4" customWidth="1"/>
    <col min="14" max="14" width="8.140625" style="4" customWidth="1"/>
    <col min="15" max="15" width="18.5703125" style="4" customWidth="1"/>
    <col min="16" max="18" width="0" style="4" hidden="1" customWidth="1"/>
    <col min="19" max="16382" width="11.42578125" style="4" hidden="1"/>
    <col min="16383" max="16383" width="12.85546875" style="4" customWidth="1"/>
    <col min="16384" max="16384" width="23.5703125" style="4" customWidth="1"/>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A5" s="349"/>
      <c r="B5" s="349"/>
      <c r="C5" s="350"/>
      <c r="D5" s="350"/>
      <c r="E5" s="350"/>
      <c r="F5" s="350"/>
      <c r="G5" s="350"/>
      <c r="H5" s="350"/>
      <c r="I5" s="350"/>
      <c r="J5" s="350"/>
      <c r="K5" s="350"/>
      <c r="L5" s="350"/>
      <c r="M5" s="351"/>
      <c r="N5" s="352" t="s">
        <v>119</v>
      </c>
      <c r="O5" s="52" t="s">
        <v>120</v>
      </c>
    </row>
    <row r="6" spans="1:15" ht="18.75" customHeight="1">
      <c r="A6" s="256" t="s">
        <v>121</v>
      </c>
      <c r="B6" s="256"/>
      <c r="C6" s="887" t="s">
        <v>422</v>
      </c>
      <c r="D6" s="887"/>
      <c r="E6" s="887"/>
      <c r="F6" s="887"/>
      <c r="G6" s="887"/>
      <c r="H6" s="887"/>
      <c r="I6" s="887"/>
      <c r="J6" s="887"/>
      <c r="K6" s="887"/>
      <c r="L6" s="887"/>
      <c r="M6" s="887"/>
      <c r="N6" s="887"/>
    </row>
    <row r="7" spans="1:15" ht="21.75" customHeight="1">
      <c r="A7" s="256" t="s">
        <v>3</v>
      </c>
      <c r="B7" s="256"/>
      <c r="C7" s="888" t="s">
        <v>423</v>
      </c>
      <c r="D7" s="888"/>
      <c r="E7" s="888"/>
      <c r="F7" s="888"/>
      <c r="G7" s="888"/>
      <c r="H7" s="888"/>
      <c r="I7" s="888"/>
      <c r="J7" s="888"/>
      <c r="K7" s="888"/>
      <c r="L7" s="888"/>
      <c r="M7" s="888"/>
      <c r="N7" s="888"/>
    </row>
    <row r="8" spans="1:15" ht="16.5">
      <c r="A8" s="256" t="s">
        <v>122</v>
      </c>
      <c r="B8" s="256"/>
      <c r="C8" s="257" t="s">
        <v>123</v>
      </c>
      <c r="D8" s="257"/>
      <c r="E8" s="257"/>
      <c r="F8" s="257"/>
      <c r="G8" s="257"/>
      <c r="H8" s="257"/>
      <c r="I8" s="257"/>
      <c r="J8" s="257"/>
      <c r="K8" s="257"/>
      <c r="L8" s="257"/>
      <c r="M8" s="257"/>
      <c r="N8" s="257"/>
    </row>
    <row r="9" spans="1:15" ht="18" customHeight="1">
      <c r="A9" s="256" t="s">
        <v>124</v>
      </c>
      <c r="B9" s="256"/>
      <c r="C9" s="888" t="s">
        <v>623</v>
      </c>
      <c r="D9" s="888"/>
      <c r="E9" s="888"/>
      <c r="F9" s="888"/>
      <c r="G9" s="888"/>
      <c r="H9" s="888"/>
      <c r="I9" s="888"/>
      <c r="J9" s="888"/>
      <c r="K9" s="888"/>
      <c r="L9" s="888"/>
      <c r="M9" s="888"/>
      <c r="N9" s="888"/>
      <c r="O9" s="307" t="s">
        <v>423</v>
      </c>
    </row>
    <row r="10" spans="1:15" ht="16.5">
      <c r="A10" s="256" t="s">
        <v>5</v>
      </c>
      <c r="B10" s="256"/>
      <c r="C10" s="258" t="s">
        <v>15</v>
      </c>
      <c r="D10" s="258"/>
      <c r="E10" s="258"/>
      <c r="F10" s="258"/>
      <c r="G10" s="258"/>
      <c r="H10" s="258"/>
      <c r="I10" s="258"/>
      <c r="J10" s="258"/>
      <c r="K10" s="258"/>
      <c r="L10" s="258"/>
      <c r="M10" s="258"/>
      <c r="N10" s="258"/>
    </row>
    <row r="11" spans="1:15" ht="16.5">
      <c r="A11" s="256" t="s">
        <v>6</v>
      </c>
      <c r="B11" s="256"/>
      <c r="C11" s="258" t="s">
        <v>396</v>
      </c>
      <c r="D11" s="258"/>
      <c r="E11" s="258"/>
      <c r="F11" s="258"/>
      <c r="G11" s="258"/>
      <c r="H11" s="258"/>
      <c r="I11" s="258"/>
      <c r="J11" s="258"/>
      <c r="K11" s="258"/>
      <c r="L11" s="258"/>
      <c r="M11" s="258"/>
      <c r="N11" s="258"/>
    </row>
    <row r="12" spans="1:15" ht="17.25" customHeight="1">
      <c r="A12" s="256" t="s">
        <v>7</v>
      </c>
      <c r="B12" s="256"/>
      <c r="C12" s="888" t="s">
        <v>424</v>
      </c>
      <c r="D12" s="888"/>
      <c r="E12" s="888"/>
      <c r="F12" s="888"/>
      <c r="G12" s="888"/>
      <c r="H12" s="888"/>
      <c r="I12" s="888"/>
      <c r="J12" s="888"/>
      <c r="K12" s="888"/>
      <c r="L12" s="888"/>
      <c r="M12" s="888"/>
      <c r="N12" s="888"/>
    </row>
    <row r="13" spans="1:15" ht="30" customHeight="1">
      <c r="A13" s="891" t="s">
        <v>125</v>
      </c>
      <c r="B13" s="891"/>
      <c r="C13" s="1095" t="s">
        <v>369</v>
      </c>
      <c r="D13" s="1095"/>
      <c r="E13" s="1095"/>
      <c r="F13" s="1095"/>
      <c r="G13" s="1095"/>
      <c r="H13" s="1095"/>
      <c r="I13" s="1095"/>
      <c r="J13" s="1095"/>
      <c r="K13" s="1095"/>
      <c r="L13" s="1095"/>
      <c r="M13" s="1095"/>
      <c r="N13" s="1095"/>
    </row>
    <row r="14" spans="1:15" ht="18.75" customHeight="1">
      <c r="A14" s="256" t="s">
        <v>127</v>
      </c>
      <c r="B14" s="256"/>
      <c r="C14" s="888" t="s">
        <v>425</v>
      </c>
      <c r="D14" s="888"/>
      <c r="E14" s="888"/>
      <c r="F14" s="888"/>
      <c r="G14" s="888"/>
      <c r="H14" s="888"/>
      <c r="I14" s="888"/>
      <c r="J14" s="888"/>
      <c r="K14" s="888"/>
      <c r="L14" s="888"/>
      <c r="M14" s="888"/>
      <c r="N14" s="888"/>
    </row>
    <row r="15" spans="1:15" ht="19.5" customHeight="1">
      <c r="A15" s="256" t="s">
        <v>10</v>
      </c>
      <c r="B15" s="256"/>
      <c r="C15" s="1096" t="s">
        <v>357</v>
      </c>
      <c r="D15" s="905"/>
      <c r="E15" s="905"/>
      <c r="F15" s="905"/>
      <c r="G15" s="905"/>
      <c r="H15" s="905"/>
      <c r="I15" s="905"/>
      <c r="J15" s="905"/>
      <c r="K15" s="905"/>
      <c r="L15" s="905"/>
      <c r="M15" s="905"/>
      <c r="N15" s="1097"/>
      <c r="O15" s="428"/>
    </row>
    <row r="16" spans="1:15" ht="20.25" customHeight="1">
      <c r="A16" s="886" t="s">
        <v>443</v>
      </c>
      <c r="B16" s="886"/>
      <c r="C16" s="708"/>
      <c r="D16" s="709"/>
      <c r="E16" s="709"/>
      <c r="F16" s="709"/>
      <c r="G16" s="709"/>
      <c r="H16" s="709"/>
      <c r="I16" s="709"/>
      <c r="J16" s="709"/>
      <c r="K16" s="709"/>
      <c r="L16" s="709"/>
      <c r="M16" s="709"/>
      <c r="N16" s="709"/>
    </row>
    <row r="17" spans="1:18" ht="15" customHeight="1">
      <c r="A17" s="283"/>
      <c r="B17" s="283"/>
      <c r="C17" s="284"/>
      <c r="D17" s="284"/>
      <c r="E17" s="284"/>
      <c r="F17" s="284"/>
      <c r="G17" s="284"/>
      <c r="H17" s="284"/>
      <c r="I17" s="284"/>
      <c r="J17" s="256"/>
      <c r="K17" s="256"/>
      <c r="L17" s="256"/>
      <c r="M17" s="256"/>
      <c r="N17" s="256"/>
    </row>
    <row r="18" spans="1:18" ht="16.5">
      <c r="A18" s="1098" t="s">
        <v>129</v>
      </c>
      <c r="B18" s="1099"/>
      <c r="C18" s="418" t="s">
        <v>130</v>
      </c>
      <c r="D18" s="418" t="s">
        <v>131</v>
      </c>
      <c r="E18" s="418" t="s">
        <v>132</v>
      </c>
      <c r="F18" s="418" t="s">
        <v>133</v>
      </c>
      <c r="G18" s="418" t="s">
        <v>134</v>
      </c>
      <c r="H18" s="418" t="s">
        <v>135</v>
      </c>
      <c r="I18" s="418" t="s">
        <v>136</v>
      </c>
      <c r="J18" s="418" t="s">
        <v>137</v>
      </c>
      <c r="K18" s="418" t="s">
        <v>138</v>
      </c>
      <c r="L18" s="418" t="s">
        <v>139</v>
      </c>
      <c r="M18" s="418" t="s">
        <v>140</v>
      </c>
      <c r="N18" s="418" t="s">
        <v>141</v>
      </c>
    </row>
    <row r="19" spans="1:18" ht="16.5">
      <c r="A19" s="1100"/>
      <c r="B19" s="1101"/>
      <c r="C19" s="353">
        <v>1</v>
      </c>
      <c r="D19" s="353">
        <v>2</v>
      </c>
      <c r="E19" s="353">
        <v>3</v>
      </c>
      <c r="F19" s="353">
        <v>4</v>
      </c>
      <c r="G19" s="353">
        <v>5</v>
      </c>
      <c r="H19" s="353">
        <v>6</v>
      </c>
      <c r="I19" s="353">
        <v>7</v>
      </c>
      <c r="J19" s="353">
        <v>8</v>
      </c>
      <c r="K19" s="353">
        <v>9</v>
      </c>
      <c r="L19" s="353">
        <v>10</v>
      </c>
      <c r="M19" s="353">
        <v>11</v>
      </c>
      <c r="N19" s="353">
        <v>12</v>
      </c>
    </row>
    <row r="20" spans="1:18" ht="35.25" customHeight="1">
      <c r="A20" s="419" t="s">
        <v>486</v>
      </c>
      <c r="B20" s="419"/>
      <c r="C20" s="402">
        <f>+C44</f>
        <v>1</v>
      </c>
      <c r="D20" s="402">
        <f t="shared" ref="D20:M20" si="0">+D44</f>
        <v>1</v>
      </c>
      <c r="E20" s="402">
        <f t="shared" si="0"/>
        <v>1</v>
      </c>
      <c r="F20" s="402">
        <f t="shared" si="0"/>
        <v>1</v>
      </c>
      <c r="G20" s="402">
        <f t="shared" si="0"/>
        <v>1</v>
      </c>
      <c r="H20" s="402">
        <f t="shared" si="0"/>
        <v>1</v>
      </c>
      <c r="I20" s="402">
        <f t="shared" si="0"/>
        <v>1</v>
      </c>
      <c r="J20" s="402">
        <f t="shared" si="0"/>
        <v>1</v>
      </c>
      <c r="K20" s="402">
        <f t="shared" si="0"/>
        <v>1</v>
      </c>
      <c r="L20" s="402">
        <f>+L44</f>
        <v>1</v>
      </c>
      <c r="M20" s="402">
        <f t="shared" si="0"/>
        <v>1</v>
      </c>
      <c r="N20" s="402">
        <f>+N44</f>
        <v>1</v>
      </c>
    </row>
    <row r="21" spans="1:18" ht="42" customHeight="1">
      <c r="A21" s="419" t="s">
        <v>485</v>
      </c>
      <c r="B21" s="419"/>
      <c r="C21" s="420">
        <v>1</v>
      </c>
      <c r="D21" s="420">
        <v>1</v>
      </c>
      <c r="E21" s="420">
        <v>1</v>
      </c>
      <c r="F21" s="420">
        <v>1</v>
      </c>
      <c r="G21" s="420">
        <v>1</v>
      </c>
      <c r="H21" s="420">
        <v>1</v>
      </c>
      <c r="I21" s="420">
        <v>1</v>
      </c>
      <c r="J21" s="420">
        <v>1</v>
      </c>
      <c r="K21" s="420">
        <v>1</v>
      </c>
      <c r="L21" s="420">
        <v>1</v>
      </c>
      <c r="M21" s="420">
        <v>1</v>
      </c>
      <c r="N21" s="420">
        <v>1</v>
      </c>
    </row>
    <row r="22" spans="1:18" s="19" customFormat="1" ht="148.5" customHeight="1">
      <c r="A22" s="1092" t="s">
        <v>144</v>
      </c>
      <c r="B22" s="1093"/>
      <c r="C22" s="1093"/>
      <c r="D22" s="1093"/>
      <c r="E22" s="1093"/>
      <c r="F22" s="1093"/>
      <c r="G22" s="1093"/>
      <c r="H22" s="1093"/>
      <c r="I22" s="1093"/>
      <c r="J22" s="1093"/>
      <c r="K22" s="1093"/>
      <c r="L22" s="1093"/>
      <c r="M22" s="1093"/>
      <c r="N22" s="1094"/>
      <c r="Q22" s="4"/>
      <c r="R22" s="4"/>
    </row>
    <row r="23" spans="1:18" ht="7.5" customHeight="1">
      <c r="A23" s="349"/>
      <c r="B23" s="349"/>
      <c r="C23" s="350"/>
      <c r="D23" s="350"/>
      <c r="E23" s="350"/>
      <c r="F23" s="350"/>
      <c r="G23" s="350"/>
      <c r="H23" s="350"/>
      <c r="I23" s="350"/>
      <c r="J23" s="350"/>
      <c r="K23" s="350"/>
      <c r="L23" s="350"/>
      <c r="M23" s="350"/>
      <c r="N23" s="350"/>
    </row>
    <row r="24" spans="1:18" ht="12.75" customHeight="1">
      <c r="A24" s="1102"/>
      <c r="B24" s="1103"/>
      <c r="C24" s="1103"/>
      <c r="D24" s="1103"/>
      <c r="E24" s="1103"/>
      <c r="F24" s="1104"/>
      <c r="G24" s="1105"/>
      <c r="H24" s="1106"/>
      <c r="I24" s="1106"/>
      <c r="J24" s="1106"/>
      <c r="K24" s="1106"/>
      <c r="L24" s="1106"/>
      <c r="M24" s="1106"/>
      <c r="N24" s="1107"/>
    </row>
    <row r="25" spans="1:18" ht="25.5" customHeight="1">
      <c r="A25" s="558" t="s">
        <v>667</v>
      </c>
      <c r="B25" s="908" t="s">
        <v>145</v>
      </c>
      <c r="C25" s="908"/>
      <c r="D25" s="908"/>
      <c r="E25" s="908"/>
      <c r="F25" s="909"/>
      <c r="G25" s="911" t="s">
        <v>146</v>
      </c>
      <c r="H25" s="908"/>
      <c r="I25" s="908"/>
      <c r="J25" s="908"/>
      <c r="K25" s="908"/>
      <c r="L25" s="908"/>
      <c r="M25" s="908"/>
      <c r="N25" s="909"/>
    </row>
    <row r="26" spans="1:18" s="19" customFormat="1" ht="28.5" customHeight="1">
      <c r="A26" s="358">
        <f>+IF(C20&gt;0,C19,"")</f>
        <v>1</v>
      </c>
      <c r="B26" s="900" t="s">
        <v>672</v>
      </c>
      <c r="C26" s="900"/>
      <c r="D26" s="900"/>
      <c r="E26" s="900"/>
      <c r="F26" s="901"/>
      <c r="G26" s="902" t="s">
        <v>663</v>
      </c>
      <c r="H26" s="903"/>
      <c r="I26" s="903"/>
      <c r="J26" s="903"/>
      <c r="K26" s="903"/>
      <c r="L26" s="903"/>
      <c r="M26" s="903"/>
      <c r="N26" s="904"/>
    </row>
    <row r="27" spans="1:18" s="19" customFormat="1" ht="28.5" customHeight="1">
      <c r="A27" s="359">
        <f>+IF(D20&gt;0,D19,"")</f>
        <v>2</v>
      </c>
      <c r="B27" s="900" t="s">
        <v>672</v>
      </c>
      <c r="C27" s="900"/>
      <c r="D27" s="900"/>
      <c r="E27" s="900"/>
      <c r="F27" s="901"/>
      <c r="G27" s="917" t="s">
        <v>663</v>
      </c>
      <c r="H27" s="915"/>
      <c r="I27" s="915"/>
      <c r="J27" s="915"/>
      <c r="K27" s="915"/>
      <c r="L27" s="915"/>
      <c r="M27" s="915"/>
      <c r="N27" s="916"/>
    </row>
    <row r="28" spans="1:18" s="19" customFormat="1" ht="28.5" customHeight="1">
      <c r="A28" s="359">
        <f>+IF(E20&gt;0,E19,"")</f>
        <v>3</v>
      </c>
      <c r="B28" s="900" t="s">
        <v>672</v>
      </c>
      <c r="C28" s="900"/>
      <c r="D28" s="900"/>
      <c r="E28" s="900"/>
      <c r="F28" s="901"/>
      <c r="G28" s="917" t="s">
        <v>663</v>
      </c>
      <c r="H28" s="915"/>
      <c r="I28" s="915"/>
      <c r="J28" s="915"/>
      <c r="K28" s="915"/>
      <c r="L28" s="915"/>
      <c r="M28" s="915"/>
      <c r="N28" s="916"/>
    </row>
    <row r="29" spans="1:18" s="19" customFormat="1" ht="32.25" customHeight="1">
      <c r="A29" s="359">
        <f>+IF(F20&gt;0,F19,"")</f>
        <v>4</v>
      </c>
      <c r="B29" s="900" t="s">
        <v>672</v>
      </c>
      <c r="C29" s="900"/>
      <c r="D29" s="900"/>
      <c r="E29" s="900"/>
      <c r="F29" s="901"/>
      <c r="G29" s="917" t="s">
        <v>663</v>
      </c>
      <c r="H29" s="915"/>
      <c r="I29" s="915"/>
      <c r="J29" s="915"/>
      <c r="K29" s="915"/>
      <c r="L29" s="915"/>
      <c r="M29" s="915"/>
      <c r="N29" s="916"/>
    </row>
    <row r="30" spans="1:18" s="19" customFormat="1" ht="36" customHeight="1">
      <c r="A30" s="359">
        <f>+IF(G20&gt;0,G19,"")</f>
        <v>5</v>
      </c>
      <c r="B30" s="914"/>
      <c r="C30" s="915"/>
      <c r="D30" s="915"/>
      <c r="E30" s="915"/>
      <c r="F30" s="916"/>
      <c r="G30" s="917"/>
      <c r="H30" s="915"/>
      <c r="I30" s="915"/>
      <c r="J30" s="915"/>
      <c r="K30" s="915"/>
      <c r="L30" s="915"/>
      <c r="M30" s="915"/>
      <c r="N30" s="916"/>
    </row>
    <row r="31" spans="1:18" s="19" customFormat="1" ht="34.5" customHeight="1">
      <c r="A31" s="359">
        <f>+IF(H20&gt;0,H19,"")</f>
        <v>6</v>
      </c>
      <c r="B31" s="914"/>
      <c r="C31" s="915"/>
      <c r="D31" s="915"/>
      <c r="E31" s="915"/>
      <c r="F31" s="916"/>
      <c r="G31" s="917"/>
      <c r="H31" s="915"/>
      <c r="I31" s="915"/>
      <c r="J31" s="915"/>
      <c r="K31" s="915"/>
      <c r="L31" s="915"/>
      <c r="M31" s="915"/>
      <c r="N31" s="916"/>
    </row>
    <row r="32" spans="1:18" s="19" customFormat="1" ht="30" customHeight="1">
      <c r="A32" s="359">
        <f>+IF(I20&gt;0,I19,"")</f>
        <v>7</v>
      </c>
      <c r="B32" s="914"/>
      <c r="C32" s="915"/>
      <c r="D32" s="915"/>
      <c r="E32" s="915"/>
      <c r="F32" s="916"/>
      <c r="G32" s="917"/>
      <c r="H32" s="915"/>
      <c r="I32" s="915"/>
      <c r="J32" s="915"/>
      <c r="K32" s="915"/>
      <c r="L32" s="915"/>
      <c r="M32" s="915"/>
      <c r="N32" s="916"/>
    </row>
    <row r="33" spans="1:14" s="19" customFormat="1" ht="54" customHeight="1">
      <c r="A33" s="359">
        <f>+IF(J20&gt;0,J19,"")</f>
        <v>8</v>
      </c>
      <c r="B33" s="914"/>
      <c r="C33" s="915"/>
      <c r="D33" s="915"/>
      <c r="E33" s="915"/>
      <c r="F33" s="916"/>
      <c r="G33" s="917"/>
      <c r="H33" s="915"/>
      <c r="I33" s="915"/>
      <c r="J33" s="915"/>
      <c r="K33" s="915"/>
      <c r="L33" s="915"/>
      <c r="M33" s="915"/>
      <c r="N33" s="916"/>
    </row>
    <row r="34" spans="1:14" s="19" customFormat="1" ht="28.5" customHeight="1">
      <c r="A34" s="359">
        <f>+IF(K20&gt;0,K19,"")</f>
        <v>9</v>
      </c>
      <c r="B34" s="914"/>
      <c r="C34" s="915"/>
      <c r="D34" s="915"/>
      <c r="E34" s="915"/>
      <c r="F34" s="916"/>
      <c r="G34" s="917"/>
      <c r="H34" s="915"/>
      <c r="I34" s="915"/>
      <c r="J34" s="915"/>
      <c r="K34" s="915"/>
      <c r="L34" s="915"/>
      <c r="M34" s="915"/>
      <c r="N34" s="916"/>
    </row>
    <row r="35" spans="1:14" s="19" customFormat="1" ht="28.5" customHeight="1">
      <c r="A35" s="359">
        <f>+IF(L20&gt;0,L19,"")</f>
        <v>10</v>
      </c>
      <c r="B35" s="914"/>
      <c r="C35" s="915"/>
      <c r="D35" s="915"/>
      <c r="E35" s="915"/>
      <c r="F35" s="916"/>
      <c r="G35" s="917"/>
      <c r="H35" s="915"/>
      <c r="I35" s="915"/>
      <c r="J35" s="915"/>
      <c r="K35" s="915"/>
      <c r="L35" s="915"/>
      <c r="M35" s="915"/>
      <c r="N35" s="916"/>
    </row>
    <row r="36" spans="1:14" s="19" customFormat="1" ht="28.5" customHeight="1">
      <c r="A36" s="359">
        <f>+IF(M20&gt;0,M19,"")</f>
        <v>11</v>
      </c>
      <c r="B36" s="914"/>
      <c r="C36" s="915"/>
      <c r="D36" s="915"/>
      <c r="E36" s="915"/>
      <c r="F36" s="916"/>
      <c r="G36" s="917"/>
      <c r="H36" s="915"/>
      <c r="I36" s="915"/>
      <c r="J36" s="915"/>
      <c r="K36" s="915"/>
      <c r="L36" s="915"/>
      <c r="M36" s="915"/>
      <c r="N36" s="916"/>
    </row>
    <row r="37" spans="1:14" s="19" customFormat="1" ht="33" customHeight="1">
      <c r="A37" s="360">
        <f>+IF(N20&gt;0,N19,"")</f>
        <v>12</v>
      </c>
      <c r="B37" s="914"/>
      <c r="C37" s="915"/>
      <c r="D37" s="915"/>
      <c r="E37" s="915"/>
      <c r="F37" s="916"/>
      <c r="G37" s="917"/>
      <c r="H37" s="915"/>
      <c r="I37" s="915"/>
      <c r="J37" s="915"/>
      <c r="K37" s="915"/>
      <c r="L37" s="915"/>
      <c r="M37" s="915"/>
      <c r="N37" s="916"/>
    </row>
    <row r="38" spans="1:14" ht="16.5">
      <c r="A38" s="349"/>
      <c r="B38" s="349"/>
      <c r="C38" s="350"/>
      <c r="D38" s="350"/>
      <c r="E38" s="350"/>
      <c r="F38" s="350"/>
      <c r="G38" s="350"/>
      <c r="H38" s="350"/>
      <c r="I38" s="350"/>
      <c r="J38" s="350"/>
      <c r="K38" s="350"/>
      <c r="L38" s="350"/>
      <c r="M38" s="350"/>
      <c r="N38" s="350"/>
    </row>
    <row r="39" spans="1:14" ht="16.5">
      <c r="A39" s="349"/>
      <c r="B39" s="349"/>
      <c r="C39" s="222" t="s">
        <v>212</v>
      </c>
      <c r="D39" s="222" t="s">
        <v>213</v>
      </c>
      <c r="E39" s="222" t="s">
        <v>214</v>
      </c>
      <c r="F39" s="222" t="s">
        <v>215</v>
      </c>
      <c r="G39" s="222" t="s">
        <v>216</v>
      </c>
      <c r="H39" s="222" t="s">
        <v>217</v>
      </c>
      <c r="I39" s="222" t="s">
        <v>218</v>
      </c>
      <c r="J39" s="222" t="s">
        <v>219</v>
      </c>
      <c r="K39" s="222" t="s">
        <v>220</v>
      </c>
      <c r="L39" s="222" t="s">
        <v>221</v>
      </c>
      <c r="M39" s="222" t="s">
        <v>222</v>
      </c>
      <c r="N39" s="222" t="s">
        <v>223</v>
      </c>
    </row>
    <row r="40" spans="1:14" ht="16.5">
      <c r="A40" s="349"/>
      <c r="B40" s="421" t="s">
        <v>426</v>
      </c>
      <c r="C40" s="422"/>
      <c r="D40" s="422"/>
      <c r="E40" s="422"/>
      <c r="F40" s="422"/>
      <c r="G40" s="422"/>
      <c r="H40" s="422"/>
      <c r="I40" s="422"/>
      <c r="J40" s="422"/>
      <c r="K40" s="422"/>
      <c r="L40" s="422"/>
      <c r="M40" s="422"/>
      <c r="N40" s="422"/>
    </row>
    <row r="41" spans="1:14" ht="16.5">
      <c r="A41" s="349"/>
      <c r="B41" s="421" t="s">
        <v>342</v>
      </c>
      <c r="C41" s="423">
        <v>31</v>
      </c>
      <c r="D41" s="423">
        <v>28</v>
      </c>
      <c r="E41" s="423">
        <v>31</v>
      </c>
      <c r="F41" s="423">
        <v>30</v>
      </c>
      <c r="G41" s="423">
        <v>31</v>
      </c>
      <c r="H41" s="423">
        <v>30</v>
      </c>
      <c r="I41" s="423">
        <v>31</v>
      </c>
      <c r="J41" s="423">
        <v>31</v>
      </c>
      <c r="K41" s="423">
        <v>30</v>
      </c>
      <c r="L41" s="423">
        <v>31</v>
      </c>
      <c r="M41" s="423">
        <v>30</v>
      </c>
      <c r="N41" s="423">
        <v>31</v>
      </c>
    </row>
    <row r="42" spans="1:14" ht="16.5" hidden="1">
      <c r="A42" s="349"/>
      <c r="B42" s="424" t="s">
        <v>152</v>
      </c>
      <c r="C42" s="417">
        <f>(C40/C41)-100%</f>
        <v>-1</v>
      </c>
      <c r="D42" s="417">
        <f t="shared" ref="D42:L42" si="1">(D40/D41)-100%</f>
        <v>-1</v>
      </c>
      <c r="E42" s="417">
        <f t="shared" si="1"/>
        <v>-1</v>
      </c>
      <c r="F42" s="417">
        <f t="shared" si="1"/>
        <v>-1</v>
      </c>
      <c r="G42" s="417">
        <f t="shared" si="1"/>
        <v>-1</v>
      </c>
      <c r="H42" s="417">
        <f t="shared" si="1"/>
        <v>-1</v>
      </c>
      <c r="I42" s="417">
        <f t="shared" si="1"/>
        <v>-1</v>
      </c>
      <c r="J42" s="417">
        <f t="shared" si="1"/>
        <v>-1</v>
      </c>
      <c r="K42" s="417">
        <f t="shared" si="1"/>
        <v>-1</v>
      </c>
      <c r="L42" s="417">
        <f t="shared" si="1"/>
        <v>-1</v>
      </c>
      <c r="M42" s="425">
        <f>(M40/M41)-100%</f>
        <v>-1</v>
      </c>
      <c r="N42" s="417">
        <f>(N40/N41)-100%</f>
        <v>-1</v>
      </c>
    </row>
    <row r="43" spans="1:14" ht="16.5">
      <c r="A43" s="349"/>
      <c r="B43" s="421" t="s">
        <v>478</v>
      </c>
      <c r="C43" s="417">
        <f>(C40/C41)</f>
        <v>0</v>
      </c>
      <c r="D43" s="417">
        <f t="shared" ref="D43:N43" si="2">(D40/D41)</f>
        <v>0</v>
      </c>
      <c r="E43" s="417">
        <f t="shared" si="2"/>
        <v>0</v>
      </c>
      <c r="F43" s="417">
        <f t="shared" si="2"/>
        <v>0</v>
      </c>
      <c r="G43" s="417">
        <f t="shared" si="2"/>
        <v>0</v>
      </c>
      <c r="H43" s="417">
        <f t="shared" si="2"/>
        <v>0</v>
      </c>
      <c r="I43" s="417">
        <f t="shared" si="2"/>
        <v>0</v>
      </c>
      <c r="J43" s="417">
        <f t="shared" si="2"/>
        <v>0</v>
      </c>
      <c r="K43" s="417">
        <f t="shared" si="2"/>
        <v>0</v>
      </c>
      <c r="L43" s="417">
        <f t="shared" si="2"/>
        <v>0</v>
      </c>
      <c r="M43" s="417">
        <f t="shared" si="2"/>
        <v>0</v>
      </c>
      <c r="N43" s="417">
        <f t="shared" si="2"/>
        <v>0</v>
      </c>
    </row>
    <row r="44" spans="1:14" ht="16.5">
      <c r="A44" s="349"/>
      <c r="B44" s="416" t="s">
        <v>479</v>
      </c>
      <c r="C44" s="417">
        <f>100%-C43</f>
        <v>1</v>
      </c>
      <c r="D44" s="417">
        <f t="shared" ref="D44:N44" si="3">100%-D43</f>
        <v>1</v>
      </c>
      <c r="E44" s="417">
        <f t="shared" si="3"/>
        <v>1</v>
      </c>
      <c r="F44" s="417">
        <f t="shared" si="3"/>
        <v>1</v>
      </c>
      <c r="G44" s="417">
        <f t="shared" si="3"/>
        <v>1</v>
      </c>
      <c r="H44" s="417">
        <f t="shared" si="3"/>
        <v>1</v>
      </c>
      <c r="I44" s="417">
        <f t="shared" si="3"/>
        <v>1</v>
      </c>
      <c r="J44" s="417">
        <f t="shared" si="3"/>
        <v>1</v>
      </c>
      <c r="K44" s="417">
        <f t="shared" si="3"/>
        <v>1</v>
      </c>
      <c r="L44" s="417">
        <f t="shared" si="3"/>
        <v>1</v>
      </c>
      <c r="M44" s="417">
        <f t="shared" si="3"/>
        <v>1</v>
      </c>
      <c r="N44" s="417">
        <f t="shared" si="3"/>
        <v>1</v>
      </c>
    </row>
    <row r="45" spans="1:14" ht="14.1" customHeight="1"/>
  </sheetData>
  <sheetProtection formatCells="0" formatColumns="0" formatRows="0"/>
  <mergeCells count="50">
    <mergeCell ref="B37:F37"/>
    <mergeCell ref="G37:N37"/>
    <mergeCell ref="B34:F34"/>
    <mergeCell ref="G34:N34"/>
    <mergeCell ref="B35:F35"/>
    <mergeCell ref="G35:N35"/>
    <mergeCell ref="B36:F36"/>
    <mergeCell ref="G36:N36"/>
    <mergeCell ref="B31:F31"/>
    <mergeCell ref="G31:N31"/>
    <mergeCell ref="B32:F32"/>
    <mergeCell ref="G32:N32"/>
    <mergeCell ref="B33:F33"/>
    <mergeCell ref="G33:N33"/>
    <mergeCell ref="B28:F28"/>
    <mergeCell ref="G28:N28"/>
    <mergeCell ref="B29:F29"/>
    <mergeCell ref="G29:N29"/>
    <mergeCell ref="B30:F30"/>
    <mergeCell ref="G30:N30"/>
    <mergeCell ref="A24:F24"/>
    <mergeCell ref="G24:N24"/>
    <mergeCell ref="B26:F26"/>
    <mergeCell ref="G26:N26"/>
    <mergeCell ref="B27:F27"/>
    <mergeCell ref="G27:N27"/>
    <mergeCell ref="B25:F25"/>
    <mergeCell ref="G25:N25"/>
    <mergeCell ref="A22:N22"/>
    <mergeCell ref="C6:N6"/>
    <mergeCell ref="C7:N7"/>
    <mergeCell ref="C9:N9"/>
    <mergeCell ref="C12:N12"/>
    <mergeCell ref="A13:B13"/>
    <mergeCell ref="C13:N13"/>
    <mergeCell ref="C14:N14"/>
    <mergeCell ref="C15:N15"/>
    <mergeCell ref="A18:B18"/>
    <mergeCell ref="A19:B19"/>
    <mergeCell ref="A16:B16"/>
    <mergeCell ref="C16:N16"/>
    <mergeCell ref="A1:J4"/>
    <mergeCell ref="K1:L1"/>
    <mergeCell ref="M1:N1"/>
    <mergeCell ref="K2:L2"/>
    <mergeCell ref="M2:N2"/>
    <mergeCell ref="K3:L3"/>
    <mergeCell ref="M3:N3"/>
    <mergeCell ref="K4:L4"/>
    <mergeCell ref="M4:N4"/>
  </mergeCells>
  <hyperlinks>
    <hyperlink ref="O5" location="'Matriz Sta Ana'!A1" display="Volver" xr:uid="{4CABBC0A-F22F-4E71-9487-9B2386DC02B5}"/>
  </hyperlinks>
  <pageMargins left="0.7" right="0.7" top="0.75" bottom="0.75" header="0.3" footer="0.3"/>
  <pageSetup scale="69" fitToHeight="0" orientation="portrait" r:id="rId1"/>
  <rowBreaks count="1" manualBreakCount="1">
    <brk id="21" max="13" man="1"/>
  </rowBreaks>
  <drawing r:id="rId2"/>
  <legacyDrawing r:id="rId3"/>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O36"/>
  <sheetViews>
    <sheetView view="pageBreakPreview" topLeftCell="A10" zoomScaleNormal="100" zoomScaleSheetLayoutView="100" workbookViewId="0">
      <selection activeCell="O5" sqref="O5"/>
    </sheetView>
  </sheetViews>
  <sheetFormatPr baseColWidth="10" defaultColWidth="11.42578125" defaultRowHeight="16.5"/>
  <cols>
    <col min="1" max="1" width="7.42578125" style="5" customWidth="1"/>
    <col min="2" max="2" width="33.5703125" style="5" customWidth="1"/>
    <col min="3" max="5" width="7.140625" style="4" customWidth="1"/>
    <col min="6" max="6" width="9.42578125" style="4" customWidth="1"/>
    <col min="7" max="13" width="7.140625" style="4" customWidth="1"/>
    <col min="14" max="14" width="8.140625" style="4" customWidth="1"/>
    <col min="15" max="15" width="9.5703125" style="4" customWidth="1"/>
    <col min="16"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0</v>
      </c>
      <c r="N2" s="729"/>
    </row>
    <row r="3" spans="1:15" ht="21.75" customHeight="1">
      <c r="A3" s="722"/>
      <c r="B3" s="723"/>
      <c r="C3" s="723"/>
      <c r="D3" s="723"/>
      <c r="E3" s="723"/>
      <c r="F3" s="723"/>
      <c r="G3" s="723"/>
      <c r="H3" s="723"/>
      <c r="I3" s="723"/>
      <c r="J3" s="724"/>
      <c r="K3" s="728" t="s">
        <v>116</v>
      </c>
      <c r="L3" s="729"/>
      <c r="M3" s="732">
        <v>43464</v>
      </c>
      <c r="N3" s="733"/>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34.5" customHeight="1">
      <c r="A6" s="5" t="s">
        <v>121</v>
      </c>
      <c r="C6" s="734" t="s">
        <v>242</v>
      </c>
      <c r="D6" s="734"/>
      <c r="E6" s="734"/>
      <c r="F6" s="734"/>
      <c r="G6" s="734"/>
      <c r="H6" s="734"/>
      <c r="I6" s="734"/>
      <c r="J6" s="734"/>
      <c r="K6" s="734"/>
      <c r="L6" s="734"/>
      <c r="M6" s="734"/>
      <c r="N6" s="734"/>
    </row>
    <row r="7" spans="1:15" ht="44.25" customHeight="1">
      <c r="A7" s="5" t="s">
        <v>3</v>
      </c>
      <c r="C7" s="700" t="s">
        <v>245</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ht="50.25" customHeight="1">
      <c r="A9" s="5" t="s">
        <v>124</v>
      </c>
      <c r="C9" s="735">
        <v>0.9</v>
      </c>
      <c r="D9" s="736"/>
      <c r="E9" s="736"/>
      <c r="F9" s="736"/>
      <c r="G9" s="736"/>
      <c r="H9" s="736"/>
      <c r="I9" s="736"/>
      <c r="J9" s="736"/>
      <c r="K9" s="736"/>
      <c r="L9" s="736"/>
      <c r="M9" s="736"/>
      <c r="N9" s="736"/>
    </row>
    <row r="10" spans="1:15">
      <c r="A10" s="5" t="s">
        <v>5</v>
      </c>
      <c r="C10" s="64" t="s">
        <v>243</v>
      </c>
      <c r="D10" s="64"/>
      <c r="E10" s="64"/>
      <c r="F10" s="64"/>
      <c r="G10" s="64"/>
      <c r="H10" s="64"/>
      <c r="I10" s="64"/>
      <c r="J10" s="64"/>
      <c r="K10" s="64"/>
      <c r="L10" s="64"/>
      <c r="M10" s="64"/>
      <c r="N10" s="64"/>
    </row>
    <row r="11" spans="1:15">
      <c r="A11" s="5" t="s">
        <v>6</v>
      </c>
      <c r="C11" s="64" t="s">
        <v>227</v>
      </c>
      <c r="D11" s="64"/>
      <c r="E11" s="64"/>
      <c r="F11" s="64"/>
      <c r="G11" s="64"/>
      <c r="H11" s="64"/>
      <c r="I11" s="64"/>
      <c r="J11" s="64"/>
      <c r="K11" s="64"/>
      <c r="L11" s="64"/>
      <c r="M11" s="64"/>
      <c r="N11" s="64"/>
    </row>
    <row r="12" spans="1:15" ht="50.25" customHeight="1">
      <c r="A12" s="5" t="s">
        <v>7</v>
      </c>
      <c r="C12" s="700" t="s">
        <v>244</v>
      </c>
      <c r="D12" s="700"/>
      <c r="E12" s="700"/>
      <c r="F12" s="700"/>
      <c r="G12" s="700"/>
      <c r="H12" s="700"/>
      <c r="I12" s="700"/>
      <c r="J12" s="700"/>
      <c r="K12" s="700"/>
      <c r="L12" s="700"/>
      <c r="M12" s="700"/>
      <c r="N12" s="700"/>
    </row>
    <row r="13" spans="1:15" ht="30" customHeight="1">
      <c r="A13" s="737" t="s">
        <v>125</v>
      </c>
      <c r="B13" s="737"/>
      <c r="C13" s="700" t="s">
        <v>228</v>
      </c>
      <c r="D13" s="700"/>
      <c r="E13" s="700"/>
      <c r="F13" s="700"/>
      <c r="G13" s="700"/>
      <c r="H13" s="700"/>
      <c r="I13" s="700"/>
      <c r="J13" s="700"/>
      <c r="K13" s="700"/>
      <c r="L13" s="700"/>
      <c r="M13" s="700"/>
      <c r="N13" s="700"/>
    </row>
    <row r="14" spans="1:15" ht="48" customHeight="1">
      <c r="A14" s="5" t="s">
        <v>127</v>
      </c>
      <c r="C14" s="700"/>
      <c r="D14" s="700"/>
      <c r="E14" s="700"/>
      <c r="F14" s="700"/>
      <c r="G14" s="700"/>
      <c r="H14" s="700"/>
      <c r="I14" s="700"/>
      <c r="J14" s="700"/>
      <c r="K14" s="700"/>
      <c r="L14" s="700"/>
      <c r="M14" s="700"/>
      <c r="N14" s="700"/>
    </row>
    <row r="15" spans="1:15" ht="49.5" customHeight="1">
      <c r="A15" s="5" t="s">
        <v>10</v>
      </c>
      <c r="C15" s="701" t="s">
        <v>235</v>
      </c>
      <c r="D15" s="701"/>
      <c r="E15" s="701"/>
      <c r="F15" s="701"/>
      <c r="G15" s="701"/>
      <c r="H15" s="701"/>
      <c r="I15" s="701"/>
      <c r="J15" s="701"/>
      <c r="K15" s="701"/>
      <c r="L15" s="701"/>
      <c r="M15" s="701"/>
      <c r="N15" s="701"/>
    </row>
    <row r="16" spans="1:15" ht="51" customHeight="1">
      <c r="A16" s="737" t="s">
        <v>128</v>
      </c>
      <c r="B16" s="737"/>
      <c r="C16" s="833" t="s">
        <v>241</v>
      </c>
      <c r="D16" s="833"/>
      <c r="E16" s="833"/>
      <c r="F16" s="833"/>
      <c r="G16" s="833"/>
      <c r="H16" s="833"/>
      <c r="I16" s="833"/>
      <c r="J16" s="833"/>
      <c r="K16" s="833"/>
      <c r="L16" s="833"/>
      <c r="M16" s="833"/>
      <c r="N16" s="833"/>
    </row>
    <row r="17" spans="1:14">
      <c r="A17" s="4"/>
      <c r="B17" s="10" t="s">
        <v>129</v>
      </c>
      <c r="C17" s="11" t="s">
        <v>130</v>
      </c>
      <c r="D17" s="11" t="s">
        <v>131</v>
      </c>
      <c r="E17" s="11" t="s">
        <v>132</v>
      </c>
      <c r="F17" s="11" t="s">
        <v>133</v>
      </c>
      <c r="G17" s="11" t="s">
        <v>134</v>
      </c>
      <c r="H17" s="11" t="s">
        <v>135</v>
      </c>
      <c r="I17" s="11" t="s">
        <v>136</v>
      </c>
      <c r="J17" s="11" t="s">
        <v>137</v>
      </c>
      <c r="K17" s="11" t="s">
        <v>138</v>
      </c>
      <c r="L17" s="11" t="s">
        <v>139</v>
      </c>
      <c r="M17" s="11" t="s">
        <v>140</v>
      </c>
      <c r="N17" s="11" t="s">
        <v>141</v>
      </c>
    </row>
    <row r="18" spans="1:14">
      <c r="A18" s="4"/>
      <c r="B18" s="10"/>
      <c r="C18" s="11">
        <v>1</v>
      </c>
      <c r="D18" s="11">
        <v>2</v>
      </c>
      <c r="E18" s="11">
        <v>3</v>
      </c>
      <c r="F18" s="11">
        <v>4</v>
      </c>
      <c r="G18" s="11">
        <v>5</v>
      </c>
      <c r="H18" s="11">
        <v>6</v>
      </c>
      <c r="I18" s="11">
        <v>7</v>
      </c>
      <c r="J18" s="11">
        <v>8</v>
      </c>
      <c r="K18" s="11">
        <v>9</v>
      </c>
      <c r="L18" s="11">
        <v>10</v>
      </c>
      <c r="M18" s="11">
        <v>11</v>
      </c>
      <c r="N18" s="11">
        <v>12</v>
      </c>
    </row>
    <row r="19" spans="1:14" ht="35.25" customHeight="1">
      <c r="A19" s="702" t="s">
        <v>142</v>
      </c>
      <c r="B19" s="758"/>
      <c r="C19" s="12"/>
      <c r="D19" s="12"/>
      <c r="E19" s="12"/>
      <c r="F19" s="12"/>
      <c r="G19" s="12"/>
      <c r="H19" s="12"/>
      <c r="I19" s="12"/>
      <c r="J19" s="12"/>
      <c r="K19" s="12"/>
      <c r="L19" s="12"/>
      <c r="M19" s="12"/>
      <c r="N19" s="12"/>
    </row>
    <row r="20" spans="1:14" ht="42" customHeight="1">
      <c r="A20" s="13" t="s">
        <v>143</v>
      </c>
      <c r="B20" s="13"/>
      <c r="C20" s="14"/>
      <c r="D20" s="14"/>
      <c r="E20" s="14"/>
      <c r="F20" s="14"/>
      <c r="G20" s="14"/>
      <c r="H20" s="14"/>
      <c r="I20" s="14"/>
      <c r="J20" s="14"/>
      <c r="K20" s="14"/>
      <c r="L20" s="14"/>
      <c r="M20" s="14"/>
      <c r="N20" s="14"/>
    </row>
    <row r="21" spans="1:14" s="19" customFormat="1" ht="122.25" customHeight="1">
      <c r="A21" s="15" t="s">
        <v>144</v>
      </c>
      <c r="B21" s="16"/>
      <c r="C21" s="17"/>
      <c r="D21" s="17"/>
      <c r="E21" s="17"/>
      <c r="F21" s="17"/>
      <c r="G21" s="17"/>
      <c r="H21" s="17"/>
      <c r="I21" s="17"/>
      <c r="J21" s="17"/>
      <c r="K21" s="17"/>
      <c r="L21" s="17"/>
      <c r="M21" s="17"/>
      <c r="N21" s="18"/>
    </row>
    <row r="22" spans="1:14" ht="7.5" customHeight="1"/>
    <row r="23" spans="1:14" ht="25.5" customHeight="1">
      <c r="A23" s="20" t="s">
        <v>145</v>
      </c>
      <c r="B23" s="21"/>
      <c r="C23" s="22"/>
      <c r="D23" s="22"/>
      <c r="E23" s="22"/>
      <c r="F23" s="22"/>
      <c r="G23" s="23" t="s">
        <v>146</v>
      </c>
      <c r="H23" s="22"/>
      <c r="I23" s="22"/>
      <c r="J23" s="22"/>
      <c r="K23" s="22"/>
      <c r="L23" s="22"/>
      <c r="M23" s="22"/>
      <c r="N23" s="24"/>
    </row>
    <row r="24" spans="1:14" ht="25.5" customHeight="1">
      <c r="A24" s="25" t="s">
        <v>129</v>
      </c>
      <c r="G24" s="26"/>
      <c r="N24" s="27"/>
    </row>
    <row r="25" spans="1:14" s="19" customFormat="1" ht="28.5" customHeight="1">
      <c r="A25" s="28" t="str">
        <f>+IF(C18&gt;0,C17,"")</f>
        <v>ene</v>
      </c>
      <c r="B25" s="9"/>
      <c r="C25" s="29"/>
      <c r="D25" s="29"/>
      <c r="E25" s="29"/>
      <c r="F25" s="29"/>
      <c r="G25" s="30"/>
      <c r="H25" s="29"/>
      <c r="I25" s="29"/>
      <c r="J25" s="29"/>
      <c r="K25" s="29"/>
      <c r="L25" s="29"/>
      <c r="M25" s="29"/>
      <c r="N25" s="31"/>
    </row>
    <row r="26" spans="1:14" s="19" customFormat="1" ht="28.5" customHeight="1">
      <c r="A26" s="32" t="str">
        <f>+IF(D18&gt;0,D17,"")</f>
        <v>feb</v>
      </c>
      <c r="B26" s="33"/>
      <c r="C26" s="34"/>
      <c r="D26" s="34"/>
      <c r="E26" s="34"/>
      <c r="F26" s="34"/>
      <c r="G26" s="35"/>
      <c r="H26" s="34"/>
      <c r="I26" s="34"/>
      <c r="J26" s="34"/>
      <c r="K26" s="34"/>
      <c r="L26" s="34"/>
      <c r="M26" s="34"/>
      <c r="N26" s="36"/>
    </row>
    <row r="27" spans="1:14" s="19" customFormat="1" ht="28.5" customHeight="1">
      <c r="A27" s="32" t="str">
        <f>+IF(E18&gt;0,E17,"")</f>
        <v>mar</v>
      </c>
      <c r="B27" s="33"/>
      <c r="C27" s="34"/>
      <c r="D27" s="34"/>
      <c r="E27" s="34"/>
      <c r="F27" s="34"/>
      <c r="G27" s="35"/>
      <c r="H27" s="34"/>
      <c r="I27" s="34"/>
      <c r="J27" s="34"/>
      <c r="K27" s="34"/>
      <c r="L27" s="34"/>
      <c r="M27" s="34"/>
      <c r="N27" s="36"/>
    </row>
    <row r="28" spans="1:14" s="19" customFormat="1" ht="28.5" customHeight="1">
      <c r="A28" s="32" t="str">
        <f>+IF(F18&gt;0,F17,"")</f>
        <v>abr</v>
      </c>
      <c r="B28" s="748"/>
      <c r="C28" s="749"/>
      <c r="D28" s="749"/>
      <c r="E28" s="749"/>
      <c r="F28" s="750"/>
      <c r="G28" s="739"/>
      <c r="H28" s="740"/>
      <c r="I28" s="740"/>
      <c r="J28" s="740"/>
      <c r="K28" s="740"/>
      <c r="L28" s="740"/>
      <c r="M28" s="740"/>
      <c r="N28" s="741"/>
    </row>
    <row r="29" spans="1:14" s="19" customFormat="1" ht="28.5" customHeight="1">
      <c r="A29" s="32" t="str">
        <f>+IF(G18&gt;0,G17,"")</f>
        <v>may</v>
      </c>
      <c r="B29" s="33"/>
      <c r="C29" s="34"/>
      <c r="D29" s="34"/>
      <c r="E29" s="34"/>
      <c r="F29" s="34"/>
      <c r="G29" s="35"/>
      <c r="H29" s="34"/>
      <c r="I29" s="34"/>
      <c r="J29" s="34"/>
      <c r="K29" s="34"/>
      <c r="L29" s="34"/>
      <c r="M29" s="34"/>
      <c r="N29" s="36"/>
    </row>
    <row r="30" spans="1:14" s="19" customFormat="1" ht="34.5" customHeight="1">
      <c r="A30" s="32" t="str">
        <f>+IF(H18&gt;0,H17,"")</f>
        <v>jun</v>
      </c>
      <c r="B30" s="854"/>
      <c r="C30" s="800"/>
      <c r="D30" s="800"/>
      <c r="E30" s="800"/>
      <c r="F30" s="801"/>
      <c r="G30" s="37"/>
      <c r="H30" s="33"/>
      <c r="I30" s="33"/>
      <c r="J30" s="33"/>
      <c r="K30" s="33"/>
      <c r="L30" s="33"/>
      <c r="M30" s="33"/>
      <c r="N30" s="38"/>
    </row>
    <row r="31" spans="1:14" s="19" customFormat="1" ht="33.75" customHeight="1">
      <c r="A31" s="32" t="str">
        <f>+IF(I18&gt;0,I17,"")</f>
        <v>jul</v>
      </c>
      <c r="B31" s="854"/>
      <c r="C31" s="800"/>
      <c r="D31" s="800"/>
      <c r="E31" s="800"/>
      <c r="F31" s="801"/>
      <c r="G31" s="37"/>
      <c r="H31" s="33"/>
      <c r="I31" s="33"/>
      <c r="J31" s="33"/>
      <c r="K31" s="33"/>
      <c r="L31" s="33"/>
      <c r="M31" s="33"/>
      <c r="N31" s="38"/>
    </row>
    <row r="32" spans="1:14" s="19" customFormat="1" ht="28.5" customHeight="1">
      <c r="A32" s="32" t="str">
        <f>+IF(J18&gt;0,J17,"")</f>
        <v>ago</v>
      </c>
      <c r="B32" s="33"/>
      <c r="C32" s="33"/>
      <c r="D32" s="33"/>
      <c r="E32" s="33"/>
      <c r="F32" s="33"/>
      <c r="G32" s="799"/>
      <c r="H32" s="800"/>
      <c r="I32" s="800"/>
      <c r="J32" s="800"/>
      <c r="K32" s="800"/>
      <c r="L32" s="800"/>
      <c r="M32" s="800"/>
      <c r="N32" s="801"/>
    </row>
    <row r="33" spans="1:14" s="19" customFormat="1" ht="28.5" customHeight="1">
      <c r="A33" s="32" t="str">
        <f>+IF(K18&gt;0,K17,"")</f>
        <v>sep</v>
      </c>
      <c r="B33" s="33"/>
      <c r="C33" s="34"/>
      <c r="D33" s="34"/>
      <c r="E33" s="34"/>
      <c r="F33" s="34"/>
      <c r="G33" s="35"/>
      <c r="H33" s="34"/>
      <c r="I33" s="34"/>
      <c r="J33" s="34"/>
      <c r="K33" s="34"/>
      <c r="L33" s="34"/>
      <c r="M33" s="34"/>
      <c r="N33" s="36"/>
    </row>
    <row r="34" spans="1:14" s="19" customFormat="1" ht="28.5" customHeight="1">
      <c r="A34" s="32" t="str">
        <f>+IF(L18&gt;0,L17,"")</f>
        <v>oct</v>
      </c>
      <c r="B34" s="33"/>
      <c r="C34" s="34"/>
      <c r="D34" s="34"/>
      <c r="E34" s="34"/>
      <c r="F34" s="34"/>
      <c r="G34" s="35"/>
      <c r="H34" s="34"/>
      <c r="I34" s="34"/>
      <c r="J34" s="34"/>
      <c r="K34" s="34"/>
      <c r="L34" s="34"/>
      <c r="M34" s="34"/>
      <c r="N34" s="36"/>
    </row>
    <row r="35" spans="1:14" s="19" customFormat="1" ht="28.5" customHeight="1">
      <c r="A35" s="32" t="str">
        <f>+IF(M18&gt;0,M17,"")</f>
        <v>nov</v>
      </c>
      <c r="B35" s="33"/>
      <c r="C35" s="34"/>
      <c r="D35" s="34"/>
      <c r="E35" s="34"/>
      <c r="F35" s="34"/>
      <c r="G35" s="35"/>
      <c r="H35" s="34"/>
      <c r="I35" s="34"/>
      <c r="J35" s="34"/>
      <c r="K35" s="34"/>
      <c r="L35" s="34"/>
      <c r="M35" s="34"/>
      <c r="N35" s="36"/>
    </row>
    <row r="36" spans="1:14" s="19" customFormat="1" ht="32.25" customHeight="1">
      <c r="A36" s="39" t="str">
        <f>+IF(N18&gt;0,N17,"")</f>
        <v>dic</v>
      </c>
      <c r="B36" s="873"/>
      <c r="C36" s="874"/>
      <c r="D36" s="874"/>
      <c r="E36" s="874"/>
      <c r="F36" s="875"/>
      <c r="G36" s="876"/>
      <c r="H36" s="874"/>
      <c r="I36" s="874"/>
      <c r="J36" s="874"/>
      <c r="K36" s="874"/>
      <c r="L36" s="874"/>
      <c r="M36" s="874"/>
      <c r="N36" s="875"/>
    </row>
  </sheetData>
  <sheetProtection formatCells="0" formatColumns="0" formatRows="0"/>
  <mergeCells count="27">
    <mergeCell ref="A1:J4"/>
    <mergeCell ref="K1:L1"/>
    <mergeCell ref="M1:N1"/>
    <mergeCell ref="K2:L2"/>
    <mergeCell ref="M2:N2"/>
    <mergeCell ref="K3:L3"/>
    <mergeCell ref="M3:N3"/>
    <mergeCell ref="K4:L4"/>
    <mergeCell ref="M4:N4"/>
    <mergeCell ref="B28:F28"/>
    <mergeCell ref="G28:N28"/>
    <mergeCell ref="C6:N6"/>
    <mergeCell ref="C7:N7"/>
    <mergeCell ref="C9:N9"/>
    <mergeCell ref="C12:N12"/>
    <mergeCell ref="A13:B13"/>
    <mergeCell ref="C13:N13"/>
    <mergeCell ref="C14:N14"/>
    <mergeCell ref="C15:N15"/>
    <mergeCell ref="A16:B16"/>
    <mergeCell ref="C16:N16"/>
    <mergeCell ref="A19:B19"/>
    <mergeCell ref="B30:F30"/>
    <mergeCell ref="B31:F31"/>
    <mergeCell ref="G32:N32"/>
    <mergeCell ref="B36:F36"/>
    <mergeCell ref="G36:N36"/>
  </mergeCells>
  <hyperlinks>
    <hyperlink ref="O5" location="'Matriz Sta Ana'!A1" display="Volver" xr:uid="{00000000-0004-0000-1100-000000000000}"/>
  </hyperlinks>
  <pageMargins left="0.7" right="0.7" top="0.75" bottom="0.75" header="0.3" footer="0.3"/>
  <pageSetup scale="69" fitToHeight="0" orientation="portrait" r:id="rId1"/>
  <rowBreaks count="1" manualBreakCount="1">
    <brk id="20" max="16383" man="1"/>
  </rowBreaks>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6AFD62-1371-497A-BB97-7D35CE348B23}">
  <sheetPr>
    <tabColor rgb="FFFFC000"/>
    <pageSetUpPr fitToPage="1"/>
  </sheetPr>
  <dimension ref="A1:R52"/>
  <sheetViews>
    <sheetView view="pageBreakPreview" zoomScaleNormal="100" zoomScaleSheetLayoutView="100" workbookViewId="0">
      <selection sqref="A1:J4"/>
    </sheetView>
  </sheetViews>
  <sheetFormatPr baseColWidth="10" defaultColWidth="11.42578125" defaultRowHeight="16.5"/>
  <cols>
    <col min="1" max="1" width="7.42578125" style="5" customWidth="1"/>
    <col min="2" max="2" width="33.5703125" style="5" customWidth="1"/>
    <col min="3" max="3" width="8.5703125" style="4" customWidth="1"/>
    <col min="4" max="4" width="10.42578125" style="4" customWidth="1"/>
    <col min="5" max="5" width="16.140625" style="4" customWidth="1"/>
    <col min="6" max="6" width="21.140625" style="4" customWidth="1"/>
    <col min="7" max="7" width="14.5703125" style="4" customWidth="1"/>
    <col min="8" max="8" width="11.5703125" style="4" customWidth="1"/>
    <col min="9" max="14" width="7.140625" style="4" customWidth="1"/>
    <col min="15"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8.75" customHeight="1">
      <c r="A6" s="5" t="s">
        <v>121</v>
      </c>
      <c r="C6" s="734" t="s">
        <v>19</v>
      </c>
      <c r="D6" s="734"/>
      <c r="E6" s="734"/>
      <c r="F6" s="734"/>
      <c r="G6" s="734"/>
      <c r="H6" s="734"/>
      <c r="I6" s="734"/>
      <c r="J6" s="734"/>
      <c r="K6" s="734"/>
      <c r="L6" s="734"/>
      <c r="M6" s="734"/>
      <c r="N6" s="734"/>
    </row>
    <row r="7" spans="1:15" ht="18" customHeight="1">
      <c r="A7" s="5" t="s">
        <v>3</v>
      </c>
      <c r="C7" s="700" t="s">
        <v>147</v>
      </c>
      <c r="D7" s="700"/>
      <c r="E7" s="700"/>
      <c r="F7" s="700"/>
      <c r="G7" s="700"/>
      <c r="H7" s="700"/>
      <c r="I7" s="700"/>
      <c r="J7" s="700"/>
      <c r="K7" s="700"/>
      <c r="L7" s="700"/>
      <c r="M7" s="700"/>
      <c r="N7" s="700"/>
    </row>
    <row r="8" spans="1:15">
      <c r="A8" s="5" t="s">
        <v>122</v>
      </c>
      <c r="C8" s="8" t="s">
        <v>123</v>
      </c>
      <c r="D8" s="8"/>
      <c r="E8" s="8"/>
      <c r="F8" s="8"/>
      <c r="G8" s="8"/>
      <c r="H8" s="8"/>
      <c r="I8" s="8"/>
      <c r="J8" s="8"/>
      <c r="K8" s="8"/>
      <c r="L8" s="8"/>
      <c r="M8" s="8"/>
      <c r="N8" s="8"/>
    </row>
    <row r="9" spans="1:15" ht="18.75" customHeight="1">
      <c r="A9" s="5" t="s">
        <v>124</v>
      </c>
      <c r="C9" s="700" t="s">
        <v>474</v>
      </c>
      <c r="D9" s="700"/>
      <c r="E9" s="700"/>
      <c r="F9" s="700"/>
      <c r="G9" s="700"/>
      <c r="H9" s="700"/>
      <c r="I9" s="700"/>
      <c r="J9" s="700"/>
      <c r="K9" s="700"/>
      <c r="L9" s="700"/>
      <c r="M9" s="700"/>
      <c r="N9" s="700"/>
    </row>
    <row r="10" spans="1:15">
      <c r="A10" s="5" t="s">
        <v>5</v>
      </c>
      <c r="C10" s="64" t="s">
        <v>15</v>
      </c>
      <c r="D10" s="64"/>
      <c r="E10" s="64"/>
      <c r="F10" s="64"/>
      <c r="G10" s="64"/>
      <c r="H10" s="64"/>
      <c r="I10" s="64"/>
      <c r="J10" s="64"/>
      <c r="K10" s="64"/>
      <c r="L10" s="64"/>
      <c r="M10" s="64"/>
      <c r="N10" s="64"/>
    </row>
    <row r="11" spans="1:15">
      <c r="A11" s="5" t="s">
        <v>6</v>
      </c>
      <c r="C11" s="64" t="s">
        <v>16</v>
      </c>
      <c r="D11" s="64"/>
      <c r="E11" s="64"/>
      <c r="F11" s="64"/>
      <c r="G11" s="64"/>
      <c r="H11" s="64"/>
      <c r="I11" s="64"/>
      <c r="J11" s="64"/>
      <c r="K11" s="64"/>
      <c r="L11" s="64"/>
      <c r="M11" s="64"/>
      <c r="N11" s="64"/>
    </row>
    <row r="12" spans="1:15" ht="16.5" customHeight="1">
      <c r="A12" s="5" t="s">
        <v>7</v>
      </c>
      <c r="C12" s="700" t="s">
        <v>21</v>
      </c>
      <c r="D12" s="700"/>
      <c r="E12" s="700"/>
      <c r="F12" s="700"/>
      <c r="G12" s="700"/>
      <c r="H12" s="700"/>
      <c r="I12" s="700"/>
      <c r="J12" s="700"/>
      <c r="K12" s="700"/>
      <c r="L12" s="700"/>
      <c r="M12" s="700"/>
      <c r="N12" s="700"/>
    </row>
    <row r="13" spans="1:15" ht="30" customHeight="1">
      <c r="A13" s="737" t="s">
        <v>125</v>
      </c>
      <c r="B13" s="737"/>
      <c r="C13" s="700" t="s">
        <v>16</v>
      </c>
      <c r="D13" s="700"/>
      <c r="E13" s="700"/>
      <c r="F13" s="700"/>
      <c r="G13" s="700"/>
      <c r="H13" s="700"/>
      <c r="I13" s="700"/>
      <c r="J13" s="700"/>
      <c r="K13" s="700"/>
      <c r="L13" s="700"/>
      <c r="M13" s="700"/>
      <c r="N13" s="700"/>
    </row>
    <row r="14" spans="1:15" ht="17.25" customHeight="1">
      <c r="A14" s="5" t="s">
        <v>127</v>
      </c>
      <c r="C14" s="700" t="s">
        <v>292</v>
      </c>
      <c r="D14" s="700"/>
      <c r="E14" s="700"/>
      <c r="F14" s="700"/>
      <c r="G14" s="700"/>
      <c r="H14" s="700"/>
      <c r="I14" s="700"/>
      <c r="J14" s="700"/>
      <c r="K14" s="700"/>
      <c r="L14" s="700"/>
      <c r="M14" s="700"/>
      <c r="N14" s="700"/>
    </row>
    <row r="15" spans="1:15" ht="18.75" customHeight="1">
      <c r="A15" s="5" t="s">
        <v>10</v>
      </c>
      <c r="C15" s="701" t="s">
        <v>247</v>
      </c>
      <c r="D15" s="701"/>
      <c r="E15" s="701"/>
      <c r="F15" s="701"/>
      <c r="G15" s="701"/>
      <c r="H15" s="701"/>
      <c r="I15" s="701"/>
      <c r="J15" s="701"/>
      <c r="K15" s="701"/>
      <c r="L15" s="701"/>
      <c r="M15" s="701"/>
      <c r="N15" s="701"/>
    </row>
    <row r="16" spans="1:15" ht="19.5" customHeight="1">
      <c r="A16" s="707" t="s">
        <v>443</v>
      </c>
      <c r="B16" s="707"/>
      <c r="C16" s="708" t="s">
        <v>714</v>
      </c>
      <c r="D16" s="709"/>
      <c r="E16" s="709"/>
      <c r="F16" s="709"/>
      <c r="G16" s="709"/>
      <c r="H16" s="709"/>
      <c r="I16" s="709"/>
      <c r="J16" s="709"/>
      <c r="K16" s="709"/>
      <c r="L16" s="709"/>
      <c r="M16" s="709"/>
      <c r="N16" s="709"/>
    </row>
    <row r="17" spans="1:14" ht="19.5" customHeight="1">
      <c r="A17" s="467"/>
      <c r="B17" s="467"/>
      <c r="C17" s="5"/>
      <c r="D17" s="5"/>
      <c r="E17" s="5"/>
      <c r="F17" s="5"/>
      <c r="G17" s="5"/>
      <c r="H17" s="5"/>
      <c r="I17" s="5"/>
      <c r="J17" s="5"/>
      <c r="K17" s="5"/>
      <c r="L17" s="5"/>
      <c r="M17" s="5"/>
      <c r="N17" s="5"/>
    </row>
    <row r="18" spans="1:14">
      <c r="A18" s="4"/>
      <c r="B18" s="10" t="s">
        <v>129</v>
      </c>
      <c r="C18" s="11" t="s">
        <v>130</v>
      </c>
      <c r="D18" s="11" t="s">
        <v>131</v>
      </c>
      <c r="E18" s="11" t="s">
        <v>132</v>
      </c>
      <c r="F18" s="11" t="s">
        <v>133</v>
      </c>
      <c r="G18" s="11" t="s">
        <v>134</v>
      </c>
      <c r="H18" s="11" t="s">
        <v>135</v>
      </c>
      <c r="I18" s="11" t="s">
        <v>136</v>
      </c>
      <c r="J18" s="11" t="s">
        <v>137</v>
      </c>
      <c r="K18" s="11" t="s">
        <v>138</v>
      </c>
      <c r="L18" s="11" t="s">
        <v>139</v>
      </c>
      <c r="M18" s="11" t="s">
        <v>140</v>
      </c>
      <c r="N18" s="11" t="s">
        <v>141</v>
      </c>
    </row>
    <row r="19" spans="1:14">
      <c r="A19" s="4"/>
      <c r="B19" s="10"/>
      <c r="C19" s="11">
        <v>1</v>
      </c>
      <c r="D19" s="11">
        <v>2</v>
      </c>
      <c r="E19" s="11">
        <v>3</v>
      </c>
      <c r="F19" s="11">
        <v>4</v>
      </c>
      <c r="G19" s="11">
        <v>5</v>
      </c>
      <c r="H19" s="11">
        <v>6</v>
      </c>
      <c r="I19" s="11">
        <v>7</v>
      </c>
      <c r="J19" s="11">
        <v>8</v>
      </c>
      <c r="K19" s="11">
        <v>9</v>
      </c>
      <c r="L19" s="11">
        <v>10</v>
      </c>
      <c r="M19" s="11">
        <v>11</v>
      </c>
      <c r="N19" s="11">
        <v>12</v>
      </c>
    </row>
    <row r="20" spans="1:14" ht="35.25" customHeight="1">
      <c r="A20" s="702" t="s">
        <v>142</v>
      </c>
      <c r="B20" s="703"/>
      <c r="C20" s="264">
        <f>+G40</f>
        <v>0.88543554006968639</v>
      </c>
      <c r="D20" s="264">
        <f>+G41</f>
        <v>0.88399706816515999</v>
      </c>
      <c r="E20" s="264">
        <f>+G42</f>
        <v>0.89062964799206745</v>
      </c>
      <c r="F20" s="264">
        <f>+G43</f>
        <v>0.90002186748305268</v>
      </c>
      <c r="G20" s="264">
        <f>+G44</f>
        <v>0.89829162656400385</v>
      </c>
      <c r="H20" s="262">
        <f>+G45</f>
        <v>0.89722830051057623</v>
      </c>
      <c r="I20" s="262">
        <f>+G46</f>
        <v>0.90368852459016391</v>
      </c>
      <c r="J20" s="262">
        <f>+G47</f>
        <v>0.90154774047629604</v>
      </c>
      <c r="K20" s="262">
        <f>+G48</f>
        <v>0.89318616005094464</v>
      </c>
      <c r="L20" s="262" t="e">
        <f>+G49</f>
        <v>#DIV/0!</v>
      </c>
      <c r="M20" s="262" t="e">
        <f>+G50</f>
        <v>#DIV/0!</v>
      </c>
      <c r="N20" s="262" t="e">
        <f>+G51</f>
        <v>#DIV/0!</v>
      </c>
    </row>
    <row r="21" spans="1:14" ht="42" customHeight="1">
      <c r="A21" s="13" t="s">
        <v>143</v>
      </c>
      <c r="B21" s="260"/>
      <c r="C21" s="261">
        <v>0.75</v>
      </c>
      <c r="D21" s="261">
        <v>0.75</v>
      </c>
      <c r="E21" s="261">
        <v>0.75</v>
      </c>
      <c r="F21" s="261">
        <v>0.75</v>
      </c>
      <c r="G21" s="261">
        <v>0.75</v>
      </c>
      <c r="H21" s="261">
        <v>0.75</v>
      </c>
      <c r="I21" s="261">
        <v>0.75</v>
      </c>
      <c r="J21" s="261">
        <v>0.75</v>
      </c>
      <c r="K21" s="261">
        <v>0.75</v>
      </c>
      <c r="L21" s="261">
        <v>0.75</v>
      </c>
      <c r="M21" s="261">
        <v>0.75</v>
      </c>
      <c r="N21" s="261">
        <v>0.75</v>
      </c>
    </row>
    <row r="22" spans="1:14" s="19" customFormat="1" ht="170.25" customHeight="1">
      <c r="A22" s="15" t="s">
        <v>144</v>
      </c>
      <c r="B22" s="16"/>
      <c r="C22" s="17"/>
      <c r="D22" s="17"/>
      <c r="E22" s="17"/>
      <c r="F22" s="17"/>
      <c r="G22" s="17"/>
      <c r="H22" s="17"/>
      <c r="I22" s="17"/>
      <c r="J22" s="17"/>
      <c r="K22" s="17"/>
      <c r="L22" s="17"/>
      <c r="M22" s="17"/>
      <c r="N22" s="18"/>
    </row>
    <row r="23" spans="1:14" ht="7.5" customHeight="1"/>
    <row r="24" spans="1:14" ht="25.5" customHeight="1">
      <c r="A24" s="20" t="s">
        <v>145</v>
      </c>
      <c r="B24" s="21"/>
      <c r="C24" s="22"/>
      <c r="D24" s="22"/>
      <c r="E24" s="22"/>
      <c r="F24" s="22"/>
      <c r="G24" s="23" t="s">
        <v>146</v>
      </c>
      <c r="H24" s="22"/>
      <c r="I24" s="22"/>
      <c r="J24" s="22"/>
      <c r="K24" s="22"/>
      <c r="L24" s="22"/>
      <c r="M24" s="22"/>
      <c r="N24" s="24"/>
    </row>
    <row r="25" spans="1:14" ht="25.5" customHeight="1">
      <c r="A25" s="25" t="s">
        <v>129</v>
      </c>
      <c r="G25" s="26"/>
      <c r="N25" s="27"/>
    </row>
    <row r="26" spans="1:14" s="19" customFormat="1" ht="31.5" customHeight="1">
      <c r="A26" s="28" t="str">
        <f>+IF(C19&gt;0,C18,"")</f>
        <v>ene</v>
      </c>
      <c r="B26" s="739" t="s">
        <v>650</v>
      </c>
      <c r="C26" s="740"/>
      <c r="D26" s="740"/>
      <c r="E26" s="740"/>
      <c r="F26" s="741"/>
      <c r="G26" s="739" t="s">
        <v>649</v>
      </c>
      <c r="H26" s="740"/>
      <c r="I26" s="740"/>
      <c r="J26" s="740"/>
      <c r="K26" s="740"/>
      <c r="L26" s="740"/>
      <c r="M26" s="740"/>
      <c r="N26" s="740"/>
    </row>
    <row r="27" spans="1:14" s="19" customFormat="1" ht="33" customHeight="1">
      <c r="A27" s="32" t="str">
        <f>+IF(D19&gt;0,D18,"")</f>
        <v>feb</v>
      </c>
      <c r="B27" s="739" t="s">
        <v>651</v>
      </c>
      <c r="C27" s="740"/>
      <c r="D27" s="740"/>
      <c r="E27" s="740"/>
      <c r="F27" s="741"/>
      <c r="G27" s="739" t="s">
        <v>649</v>
      </c>
      <c r="H27" s="740"/>
      <c r="I27" s="740"/>
      <c r="J27" s="740"/>
      <c r="K27" s="740"/>
      <c r="L27" s="740"/>
      <c r="M27" s="740"/>
      <c r="N27" s="740"/>
    </row>
    <row r="28" spans="1:14" s="19" customFormat="1" ht="33" customHeight="1">
      <c r="A28" s="32" t="str">
        <f>+IF(E19&gt;0,E18,"")</f>
        <v>mar</v>
      </c>
      <c r="B28" s="739" t="s">
        <v>650</v>
      </c>
      <c r="C28" s="740"/>
      <c r="D28" s="740"/>
      <c r="E28" s="740"/>
      <c r="F28" s="741"/>
      <c r="G28" s="739" t="s">
        <v>649</v>
      </c>
      <c r="H28" s="740"/>
      <c r="I28" s="740"/>
      <c r="J28" s="740"/>
      <c r="K28" s="740"/>
      <c r="L28" s="740"/>
      <c r="M28" s="740"/>
      <c r="N28" s="740"/>
    </row>
    <row r="29" spans="1:14" s="19" customFormat="1" ht="30.75" customHeight="1">
      <c r="A29" s="32" t="str">
        <f>+IF(F19&gt;0,F18,"")</f>
        <v>abr</v>
      </c>
      <c r="B29" s="739" t="s">
        <v>715</v>
      </c>
      <c r="C29" s="740"/>
      <c r="D29" s="740"/>
      <c r="E29" s="740"/>
      <c r="F29" s="741"/>
      <c r="G29" s="739" t="s">
        <v>649</v>
      </c>
      <c r="H29" s="740"/>
      <c r="I29" s="740"/>
      <c r="J29" s="740"/>
      <c r="K29" s="740"/>
      <c r="L29" s="740"/>
      <c r="M29" s="740"/>
      <c r="N29" s="740"/>
    </row>
    <row r="30" spans="1:14" s="19" customFormat="1" ht="31.5" customHeight="1">
      <c r="A30" s="32" t="str">
        <f>+IF(G19&gt;0,G18,"")</f>
        <v>may</v>
      </c>
      <c r="B30" s="739" t="s">
        <v>715</v>
      </c>
      <c r="C30" s="740"/>
      <c r="D30" s="740"/>
      <c r="E30" s="740"/>
      <c r="F30" s="741"/>
      <c r="G30" s="739" t="s">
        <v>649</v>
      </c>
      <c r="H30" s="740"/>
      <c r="I30" s="740"/>
      <c r="J30" s="740"/>
      <c r="K30" s="740"/>
      <c r="L30" s="740"/>
      <c r="M30" s="740"/>
      <c r="N30" s="740"/>
    </row>
    <row r="31" spans="1:14" s="19" customFormat="1" ht="34.5" customHeight="1">
      <c r="A31" s="32" t="str">
        <f>+IF(H19&gt;0,H18,"")</f>
        <v>jun</v>
      </c>
      <c r="B31" s="739" t="s">
        <v>715</v>
      </c>
      <c r="C31" s="740"/>
      <c r="D31" s="740"/>
      <c r="E31" s="740"/>
      <c r="F31" s="741"/>
      <c r="G31" s="739" t="s">
        <v>649</v>
      </c>
      <c r="H31" s="740"/>
      <c r="I31" s="740"/>
      <c r="J31" s="740"/>
      <c r="K31" s="740"/>
      <c r="L31" s="740"/>
      <c r="M31" s="740"/>
      <c r="N31" s="740"/>
    </row>
    <row r="32" spans="1:14" s="19" customFormat="1" ht="33.75" customHeight="1">
      <c r="A32" s="32" t="str">
        <f>+IF(I19&gt;0,I18,"")</f>
        <v>jul</v>
      </c>
      <c r="B32" s="739" t="s">
        <v>715</v>
      </c>
      <c r="C32" s="740"/>
      <c r="D32" s="740"/>
      <c r="E32" s="740"/>
      <c r="F32" s="741"/>
      <c r="G32" s="739" t="s">
        <v>649</v>
      </c>
      <c r="H32" s="740"/>
      <c r="I32" s="740"/>
      <c r="J32" s="740"/>
      <c r="K32" s="740"/>
      <c r="L32" s="740"/>
      <c r="M32" s="740"/>
      <c r="N32" s="740"/>
    </row>
    <row r="33" spans="1:14" s="19" customFormat="1" ht="28.5" customHeight="1">
      <c r="A33" s="32" t="str">
        <f>+IF(J19&gt;0,J18,"")</f>
        <v>ago</v>
      </c>
      <c r="B33" s="739" t="s">
        <v>715</v>
      </c>
      <c r="C33" s="740"/>
      <c r="D33" s="740"/>
      <c r="E33" s="740"/>
      <c r="F33" s="741"/>
      <c r="G33" s="739" t="s">
        <v>649</v>
      </c>
      <c r="H33" s="740"/>
      <c r="I33" s="740"/>
      <c r="J33" s="740"/>
      <c r="K33" s="740"/>
      <c r="L33" s="740"/>
      <c r="M33" s="740"/>
      <c r="N33" s="740"/>
    </row>
    <row r="34" spans="1:14" s="19" customFormat="1" ht="28.5" customHeight="1">
      <c r="A34" s="32" t="str">
        <f>+IF(K19&gt;0,K18,"")</f>
        <v>sep</v>
      </c>
      <c r="B34" s="739" t="s">
        <v>650</v>
      </c>
      <c r="C34" s="740"/>
      <c r="D34" s="740"/>
      <c r="E34" s="740"/>
      <c r="F34" s="741"/>
      <c r="G34" s="739" t="s">
        <v>649</v>
      </c>
      <c r="H34" s="740"/>
      <c r="I34" s="740"/>
      <c r="J34" s="740"/>
      <c r="K34" s="740"/>
      <c r="L34" s="740"/>
      <c r="M34" s="740"/>
      <c r="N34" s="740"/>
    </row>
    <row r="35" spans="1:14" s="19" customFormat="1" ht="28.5" customHeight="1">
      <c r="A35" s="32" t="str">
        <f>+IF(L19&gt;0,L18,"")</f>
        <v>oct</v>
      </c>
      <c r="B35" s="739"/>
      <c r="C35" s="740"/>
      <c r="D35" s="740"/>
      <c r="E35" s="740"/>
      <c r="F35" s="741"/>
      <c r="G35" s="739"/>
      <c r="H35" s="740"/>
      <c r="I35" s="740"/>
      <c r="J35" s="740"/>
      <c r="K35" s="740"/>
      <c r="L35" s="740"/>
      <c r="M35" s="740"/>
      <c r="N35" s="740"/>
    </row>
    <row r="36" spans="1:14" s="19" customFormat="1" ht="28.5" customHeight="1">
      <c r="A36" s="32" t="str">
        <f>+IF(M19&gt;0,M18,"")</f>
        <v>nov</v>
      </c>
      <c r="B36" s="739"/>
      <c r="C36" s="740"/>
      <c r="D36" s="740"/>
      <c r="E36" s="740"/>
      <c r="F36" s="741"/>
      <c r="G36" s="739"/>
      <c r="H36" s="740"/>
      <c r="I36" s="740"/>
      <c r="J36" s="740"/>
      <c r="K36" s="740"/>
      <c r="L36" s="740"/>
      <c r="M36" s="740"/>
      <c r="N36" s="740"/>
    </row>
    <row r="37" spans="1:14" s="19" customFormat="1" ht="28.5" customHeight="1">
      <c r="A37" s="39" t="str">
        <f>+IF(N19&gt;0,N18,"")</f>
        <v>dic</v>
      </c>
      <c r="B37" s="739"/>
      <c r="C37" s="740"/>
      <c r="D37" s="740"/>
      <c r="E37" s="740"/>
      <c r="F37" s="741"/>
      <c r="G37" s="739"/>
      <c r="H37" s="740"/>
      <c r="I37" s="740"/>
      <c r="J37" s="740"/>
      <c r="K37" s="740"/>
      <c r="L37" s="740"/>
      <c r="M37" s="740"/>
      <c r="N37" s="740"/>
    </row>
    <row r="38" spans="1:14" ht="10.5" customHeight="1"/>
    <row r="39" spans="1:14" ht="30.75" customHeight="1">
      <c r="D39" s="82" t="s">
        <v>129</v>
      </c>
      <c r="E39" s="83" t="s">
        <v>284</v>
      </c>
      <c r="F39" s="83" t="s">
        <v>721</v>
      </c>
      <c r="G39" s="83" t="s">
        <v>121</v>
      </c>
      <c r="H39" s="263" t="s">
        <v>451</v>
      </c>
    </row>
    <row r="40" spans="1:14" ht="19.5" customHeight="1">
      <c r="B40" s="5">
        <v>42150</v>
      </c>
      <c r="C40" s="189">
        <f>1- (B40- E40)/B40 * 100%</f>
        <v>0.90434163701067616</v>
      </c>
      <c r="D40" s="322" t="s">
        <v>285</v>
      </c>
      <c r="E40" s="326">
        <v>38118</v>
      </c>
      <c r="F40" s="326">
        <v>43050</v>
      </c>
      <c r="G40" s="189">
        <f>1- (F40- E40)/F40 * 100%</f>
        <v>0.88543554006968639</v>
      </c>
      <c r="H40" s="189">
        <f>100%-G40</f>
        <v>0.11456445993031361</v>
      </c>
      <c r="I40" s="244">
        <f>100%-C40</f>
        <v>9.5658362989323842E-2</v>
      </c>
    </row>
    <row r="41" spans="1:14" ht="18.75" customHeight="1">
      <c r="B41" s="5">
        <v>40120</v>
      </c>
      <c r="C41" s="189">
        <f t="shared" ref="C41:C45" si="0">1- (B41- E41)/B41 * 100%</f>
        <v>0.90184446660019946</v>
      </c>
      <c r="D41" s="322" t="s">
        <v>279</v>
      </c>
      <c r="E41" s="326">
        <v>36182</v>
      </c>
      <c r="F41" s="326">
        <v>40930</v>
      </c>
      <c r="G41" s="189">
        <f t="shared" ref="G41:G51" si="1">1- (F41- E41)/F41 * 100%</f>
        <v>0.88399706816515999</v>
      </c>
      <c r="H41" s="189">
        <f>100%-G41</f>
        <v>0.11600293183484001</v>
      </c>
      <c r="I41" s="244">
        <f t="shared" ref="I41:I46" si="2">100%-C41</f>
        <v>9.8155533399800543E-2</v>
      </c>
    </row>
    <row r="42" spans="1:14" ht="18.75" customHeight="1">
      <c r="B42" s="5">
        <v>39520</v>
      </c>
      <c r="C42" s="189">
        <f t="shared" si="0"/>
        <v>0.90910931174089071</v>
      </c>
      <c r="D42" s="322" t="s">
        <v>280</v>
      </c>
      <c r="E42" s="326">
        <v>35928</v>
      </c>
      <c r="F42" s="326">
        <v>40340</v>
      </c>
      <c r="G42" s="189">
        <f t="shared" si="1"/>
        <v>0.89062964799206745</v>
      </c>
      <c r="H42" s="189">
        <f t="shared" ref="H42:H47" si="3">100%-G42</f>
        <v>0.10937035200793255</v>
      </c>
      <c r="I42" s="244">
        <f t="shared" si="2"/>
        <v>9.0890688259109287E-2</v>
      </c>
    </row>
    <row r="43" spans="1:14" ht="18.75" customHeight="1">
      <c r="B43" s="5">
        <v>44840</v>
      </c>
      <c r="C43" s="189">
        <f t="shared" si="0"/>
        <v>0.91788581623550403</v>
      </c>
      <c r="D43" s="322" t="s">
        <v>281</v>
      </c>
      <c r="E43" s="326">
        <v>41158</v>
      </c>
      <c r="F43" s="326">
        <v>45730</v>
      </c>
      <c r="G43" s="189">
        <f t="shared" si="1"/>
        <v>0.90002186748305268</v>
      </c>
      <c r="H43" s="189">
        <f t="shared" si="3"/>
        <v>9.9978132516947316E-2</v>
      </c>
      <c r="I43" s="244">
        <f t="shared" si="2"/>
        <v>8.2114183764495974E-2</v>
      </c>
    </row>
    <row r="44" spans="1:14" ht="18.75" customHeight="1">
      <c r="B44" s="5">
        <v>40680</v>
      </c>
      <c r="C44" s="189">
        <f t="shared" si="0"/>
        <v>0.9177236971484759</v>
      </c>
      <c r="D44" s="322" t="s">
        <v>282</v>
      </c>
      <c r="E44" s="326">
        <v>37333</v>
      </c>
      <c r="F44" s="326">
        <v>41560</v>
      </c>
      <c r="G44" s="189">
        <f t="shared" si="1"/>
        <v>0.89829162656400385</v>
      </c>
      <c r="H44" s="189">
        <f t="shared" si="3"/>
        <v>0.10170837343599615</v>
      </c>
      <c r="I44" s="244">
        <f t="shared" si="2"/>
        <v>8.2276302851524097E-2</v>
      </c>
    </row>
    <row r="45" spans="1:14" ht="18.75" customHeight="1">
      <c r="B45" s="5">
        <v>40260</v>
      </c>
      <c r="C45" s="189">
        <f t="shared" si="0"/>
        <v>0.91661698956780924</v>
      </c>
      <c r="D45" s="322" t="s">
        <v>283</v>
      </c>
      <c r="E45" s="326">
        <v>36903</v>
      </c>
      <c r="F45" s="326">
        <v>41130</v>
      </c>
      <c r="G45" s="189">
        <f t="shared" si="1"/>
        <v>0.89722830051057623</v>
      </c>
      <c r="H45" s="189">
        <f t="shared" si="3"/>
        <v>0.10277169948942377</v>
      </c>
      <c r="I45" s="244">
        <f t="shared" si="2"/>
        <v>8.3383010432190763E-2</v>
      </c>
    </row>
    <row r="46" spans="1:14" ht="18.75" customHeight="1">
      <c r="B46" s="5">
        <v>42980</v>
      </c>
      <c r="C46" s="189">
        <f>1- (B46- E46)/B46 * 100%</f>
        <v>0.92345276872964166</v>
      </c>
      <c r="D46" s="322" t="s">
        <v>286</v>
      </c>
      <c r="E46" s="326">
        <v>39690</v>
      </c>
      <c r="F46" s="326">
        <v>43920</v>
      </c>
      <c r="G46" s="189">
        <f t="shared" si="1"/>
        <v>0.90368852459016391</v>
      </c>
      <c r="H46" s="189">
        <f t="shared" si="3"/>
        <v>9.6311475409836089E-2</v>
      </c>
      <c r="I46" s="244">
        <f t="shared" si="2"/>
        <v>7.654723127035834E-2</v>
      </c>
    </row>
    <row r="47" spans="1:14">
      <c r="D47" s="322" t="s">
        <v>287</v>
      </c>
      <c r="E47" s="326">
        <v>40658</v>
      </c>
      <c r="F47" s="326">
        <v>45098</v>
      </c>
      <c r="G47" s="189">
        <f t="shared" si="1"/>
        <v>0.90154774047629604</v>
      </c>
      <c r="H47" s="189">
        <f t="shared" si="3"/>
        <v>9.8452259523703956E-2</v>
      </c>
    </row>
    <row r="48" spans="1:14">
      <c r="D48" s="322" t="s">
        <v>288</v>
      </c>
      <c r="E48" s="326">
        <v>42078</v>
      </c>
      <c r="F48" s="326">
        <v>47110</v>
      </c>
      <c r="G48" s="189">
        <f t="shared" si="1"/>
        <v>0.89318616005094464</v>
      </c>
      <c r="H48" s="189">
        <f>100%-G48</f>
        <v>0.10681383994905536</v>
      </c>
    </row>
    <row r="49" spans="4:18">
      <c r="D49" s="322" t="s">
        <v>289</v>
      </c>
      <c r="E49" s="326"/>
      <c r="F49" s="326"/>
      <c r="G49" s="189" t="e">
        <f t="shared" si="1"/>
        <v>#DIV/0!</v>
      </c>
      <c r="H49" s="189" t="e">
        <f>100%-G49</f>
        <v>#DIV/0!</v>
      </c>
    </row>
    <row r="50" spans="4:18">
      <c r="D50" s="322" t="s">
        <v>290</v>
      </c>
      <c r="E50" s="326"/>
      <c r="F50" s="326"/>
      <c r="G50" s="189" t="e">
        <f t="shared" si="1"/>
        <v>#DIV/0!</v>
      </c>
      <c r="H50" s="189" t="e">
        <f t="shared" ref="H50:H51" si="4">100%-G50</f>
        <v>#DIV/0!</v>
      </c>
    </row>
    <row r="51" spans="4:18">
      <c r="D51" s="322" t="s">
        <v>291</v>
      </c>
      <c r="E51" s="326"/>
      <c r="F51" s="326"/>
      <c r="G51" s="189" t="e">
        <f t="shared" si="1"/>
        <v>#DIV/0!</v>
      </c>
      <c r="H51" s="189" t="e">
        <f t="shared" si="4"/>
        <v>#DIV/0!</v>
      </c>
    </row>
    <row r="52" spans="4:18" ht="16.5" customHeight="1">
      <c r="G52" s="738" t="s">
        <v>147</v>
      </c>
      <c r="H52" s="738"/>
      <c r="I52" s="700"/>
      <c r="J52" s="700"/>
      <c r="K52" s="700"/>
      <c r="L52" s="700"/>
      <c r="M52" s="700"/>
      <c r="N52" s="700"/>
      <c r="O52" s="700"/>
      <c r="P52" s="700"/>
      <c r="Q52" s="700"/>
      <c r="R52" s="700"/>
    </row>
  </sheetData>
  <sheetProtection formatCells="0" formatColumns="0" formatRows="0"/>
  <mergeCells count="45">
    <mergeCell ref="A1:J4"/>
    <mergeCell ref="K1:L1"/>
    <mergeCell ref="M1:N1"/>
    <mergeCell ref="K2:L2"/>
    <mergeCell ref="M2:N2"/>
    <mergeCell ref="K3:L3"/>
    <mergeCell ref="M3:N3"/>
    <mergeCell ref="K4:L4"/>
    <mergeCell ref="M4:N4"/>
    <mergeCell ref="C14:N14"/>
    <mergeCell ref="C15:N15"/>
    <mergeCell ref="A20:B20"/>
    <mergeCell ref="B26:F26"/>
    <mergeCell ref="G26:N26"/>
    <mergeCell ref="A16:B16"/>
    <mergeCell ref="C16:N16"/>
    <mergeCell ref="C6:N6"/>
    <mergeCell ref="C7:N7"/>
    <mergeCell ref="C9:N9"/>
    <mergeCell ref="C12:N12"/>
    <mergeCell ref="A13:B13"/>
    <mergeCell ref="C13:N13"/>
    <mergeCell ref="B28:F28"/>
    <mergeCell ref="B29:F29"/>
    <mergeCell ref="G28:N28"/>
    <mergeCell ref="G29:N29"/>
    <mergeCell ref="B27:F27"/>
    <mergeCell ref="G27:N27"/>
    <mergeCell ref="B32:F32"/>
    <mergeCell ref="B33:F33"/>
    <mergeCell ref="G32:N32"/>
    <mergeCell ref="G33:N33"/>
    <mergeCell ref="B30:F30"/>
    <mergeCell ref="B31:F31"/>
    <mergeCell ref="G30:N30"/>
    <mergeCell ref="G31:N31"/>
    <mergeCell ref="G52:R52"/>
    <mergeCell ref="G36:N36"/>
    <mergeCell ref="G37:N37"/>
    <mergeCell ref="B37:F37"/>
    <mergeCell ref="B34:F34"/>
    <mergeCell ref="B35:F35"/>
    <mergeCell ref="G34:N34"/>
    <mergeCell ref="G35:N35"/>
    <mergeCell ref="B36:F36"/>
  </mergeCells>
  <hyperlinks>
    <hyperlink ref="O5" location="'Matriz Sta Ana'!A1" display="Volver" xr:uid="{0207C4FA-7963-4DB2-94DE-8987B054FC93}"/>
  </hyperlinks>
  <pageMargins left="0.7" right="0.7" top="0.75" bottom="0.75" header="0.3" footer="0.3"/>
  <pageSetup scale="54" fitToHeight="0" orientation="portrait" r:id="rId1"/>
  <rowBreaks count="1" manualBreakCount="1">
    <brk id="21" max="13" man="1"/>
  </rowBreak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33E50F-8565-44CE-A6AE-A67C1DD424A8}">
  <sheetPr>
    <tabColor rgb="FFFFC000"/>
    <pageSetUpPr fitToPage="1"/>
  </sheetPr>
  <dimension ref="A1:T60"/>
  <sheetViews>
    <sheetView view="pageBreakPreview" topLeftCell="A34" zoomScaleNormal="100" zoomScaleSheetLayoutView="100" workbookViewId="0">
      <selection activeCell="K41" sqref="K41"/>
    </sheetView>
  </sheetViews>
  <sheetFormatPr baseColWidth="10" defaultColWidth="11.42578125" defaultRowHeight="16.5"/>
  <cols>
    <col min="1" max="1" width="7.42578125" style="5" customWidth="1"/>
    <col min="2" max="2" width="33.5703125" style="5" customWidth="1"/>
    <col min="3" max="4" width="8.42578125" style="4" customWidth="1"/>
    <col min="5" max="5" width="8.140625" style="4" customWidth="1"/>
    <col min="6" max="6" width="8.5703125" style="4" customWidth="1"/>
    <col min="7" max="7" width="7.140625" style="4" customWidth="1"/>
    <col min="8" max="8" width="7.85546875" style="4" customWidth="1"/>
    <col min="9" max="14" width="7.140625" style="4" customWidth="1"/>
    <col min="15"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8" customHeight="1">
      <c r="A6" s="5" t="s">
        <v>121</v>
      </c>
      <c r="C6" s="734" t="s">
        <v>23</v>
      </c>
      <c r="D6" s="734"/>
      <c r="E6" s="734"/>
      <c r="F6" s="734"/>
      <c r="G6" s="734"/>
      <c r="H6" s="734"/>
      <c r="I6" s="734"/>
      <c r="J6" s="734"/>
      <c r="K6" s="734"/>
      <c r="L6" s="734"/>
      <c r="M6" s="734"/>
      <c r="N6" s="734"/>
    </row>
    <row r="7" spans="1:15" ht="18" customHeight="1">
      <c r="A7" s="5" t="s">
        <v>3</v>
      </c>
      <c r="C7" s="700" t="s">
        <v>299</v>
      </c>
      <c r="D7" s="700"/>
      <c r="E7" s="700"/>
      <c r="F7" s="700"/>
      <c r="G7" s="700"/>
      <c r="H7" s="700"/>
      <c r="I7" s="700"/>
      <c r="J7" s="700"/>
      <c r="K7" s="700"/>
      <c r="L7" s="700"/>
      <c r="M7" s="700"/>
      <c r="N7" s="700"/>
    </row>
    <row r="8" spans="1:15">
      <c r="A8" s="5" t="s">
        <v>122</v>
      </c>
      <c r="C8" s="8" t="s">
        <v>301</v>
      </c>
      <c r="D8" s="8"/>
      <c r="E8" s="8"/>
      <c r="F8" s="8"/>
      <c r="G8" s="8"/>
      <c r="H8" s="8"/>
      <c r="I8" s="8"/>
      <c r="J8" s="8"/>
      <c r="K8" s="8"/>
      <c r="L8" s="8"/>
      <c r="M8" s="8"/>
      <c r="N8" s="8"/>
    </row>
    <row r="9" spans="1:15" ht="68.25" customHeight="1">
      <c r="A9" s="5" t="s">
        <v>452</v>
      </c>
      <c r="C9" s="700" t="s">
        <v>25</v>
      </c>
      <c r="D9" s="700"/>
      <c r="E9" s="700"/>
      <c r="F9" s="700"/>
      <c r="G9" s="700"/>
      <c r="H9" s="700"/>
      <c r="I9" s="700"/>
      <c r="J9" s="700"/>
      <c r="K9" s="700"/>
      <c r="L9" s="700"/>
      <c r="M9" s="700"/>
      <c r="N9" s="700"/>
    </row>
    <row r="10" spans="1:15" ht="22.5" customHeight="1">
      <c r="A10" s="5" t="s">
        <v>4</v>
      </c>
      <c r="C10" s="254">
        <v>0.96</v>
      </c>
      <c r="D10" s="253"/>
      <c r="E10" s="253"/>
      <c r="F10" s="253"/>
      <c r="G10" s="253"/>
      <c r="H10" s="253"/>
      <c r="I10" s="253"/>
      <c r="J10" s="253"/>
      <c r="K10" s="253"/>
      <c r="L10" s="253"/>
      <c r="M10" s="253"/>
      <c r="N10" s="253"/>
    </row>
    <row r="11" spans="1:15">
      <c r="A11" s="5" t="s">
        <v>5</v>
      </c>
      <c r="C11" s="64" t="s">
        <v>15</v>
      </c>
      <c r="D11" s="64"/>
      <c r="E11" s="64"/>
      <c r="F11" s="64"/>
      <c r="G11" s="64"/>
      <c r="H11" s="64"/>
      <c r="I11" s="64"/>
      <c r="J11" s="64"/>
      <c r="K11" s="64"/>
      <c r="L11" s="64"/>
      <c r="M11" s="64"/>
      <c r="N11" s="64"/>
    </row>
    <row r="12" spans="1:15">
      <c r="A12" s="5" t="s">
        <v>6</v>
      </c>
      <c r="C12" s="64" t="s">
        <v>16</v>
      </c>
      <c r="D12" s="64"/>
      <c r="E12" s="64"/>
      <c r="F12" s="64"/>
      <c r="G12" s="64"/>
      <c r="H12" s="64"/>
      <c r="I12" s="64"/>
      <c r="J12" s="64"/>
      <c r="K12" s="64"/>
      <c r="L12" s="64"/>
      <c r="M12" s="64"/>
      <c r="N12" s="64"/>
    </row>
    <row r="13" spans="1:15" ht="17.25" customHeight="1">
      <c r="A13" s="5" t="s">
        <v>7</v>
      </c>
      <c r="C13" s="700" t="s">
        <v>26</v>
      </c>
      <c r="D13" s="700"/>
      <c r="E13" s="700"/>
      <c r="F13" s="700"/>
      <c r="G13" s="700"/>
      <c r="H13" s="700"/>
      <c r="I13" s="700"/>
      <c r="J13" s="700"/>
      <c r="K13" s="700"/>
      <c r="L13" s="700"/>
      <c r="M13" s="700"/>
      <c r="N13" s="700"/>
    </row>
    <row r="14" spans="1:15" ht="30" customHeight="1">
      <c r="A14" s="737" t="s">
        <v>125</v>
      </c>
      <c r="B14" s="737"/>
      <c r="C14" s="700" t="s">
        <v>16</v>
      </c>
      <c r="D14" s="700"/>
      <c r="E14" s="700"/>
      <c r="F14" s="700"/>
      <c r="G14" s="700"/>
      <c r="H14" s="700"/>
      <c r="I14" s="700"/>
      <c r="J14" s="700"/>
      <c r="K14" s="700"/>
      <c r="L14" s="700"/>
      <c r="M14" s="700"/>
      <c r="N14" s="700"/>
    </row>
    <row r="15" spans="1:15" ht="33.75" customHeight="1">
      <c r="A15" s="5" t="s">
        <v>127</v>
      </c>
      <c r="C15" s="700" t="s">
        <v>28</v>
      </c>
      <c r="D15" s="700"/>
      <c r="E15" s="700"/>
      <c r="F15" s="700"/>
      <c r="G15" s="700"/>
      <c r="H15" s="700"/>
      <c r="I15" s="700"/>
      <c r="J15" s="700"/>
      <c r="K15" s="700"/>
      <c r="L15" s="700"/>
      <c r="M15" s="700"/>
      <c r="N15" s="700"/>
    </row>
    <row r="16" spans="1:15" ht="19.5" customHeight="1">
      <c r="A16" s="5" t="s">
        <v>10</v>
      </c>
      <c r="C16" s="701" t="s">
        <v>248</v>
      </c>
      <c r="D16" s="701"/>
      <c r="E16" s="701"/>
      <c r="F16" s="701"/>
      <c r="G16" s="701"/>
      <c r="H16" s="701"/>
      <c r="I16" s="701"/>
      <c r="J16" s="701"/>
      <c r="K16" s="701"/>
      <c r="L16" s="701"/>
      <c r="M16" s="701"/>
      <c r="N16" s="701"/>
    </row>
    <row r="17" spans="1:14" ht="19.5" customHeight="1">
      <c r="A17" s="707" t="s">
        <v>443</v>
      </c>
      <c r="B17" s="707"/>
      <c r="C17" s="708" t="s">
        <v>714</v>
      </c>
      <c r="D17" s="709"/>
      <c r="E17" s="709"/>
      <c r="F17" s="709"/>
      <c r="G17" s="709"/>
      <c r="H17" s="709"/>
      <c r="I17" s="709"/>
      <c r="J17" s="709"/>
      <c r="K17" s="709"/>
      <c r="L17" s="709"/>
      <c r="M17" s="709"/>
      <c r="N17" s="709"/>
    </row>
    <row r="18" spans="1:14" ht="19.5" customHeight="1">
      <c r="C18" s="5"/>
      <c r="D18" s="5"/>
      <c r="E18" s="5"/>
      <c r="F18" s="5"/>
      <c r="G18" s="5"/>
      <c r="H18" s="5"/>
      <c r="I18" s="5"/>
      <c r="J18" s="5"/>
      <c r="K18" s="5"/>
      <c r="L18" s="5"/>
      <c r="M18" s="5"/>
      <c r="N18" s="5"/>
    </row>
    <row r="19" spans="1:14">
      <c r="A19" s="4"/>
      <c r="B19" s="10" t="s">
        <v>129</v>
      </c>
      <c r="C19" s="11" t="s">
        <v>130</v>
      </c>
      <c r="D19" s="11" t="s">
        <v>131</v>
      </c>
      <c r="E19" s="11" t="s">
        <v>132</v>
      </c>
      <c r="F19" s="11" t="s">
        <v>133</v>
      </c>
      <c r="G19" s="11" t="s">
        <v>134</v>
      </c>
      <c r="H19" s="11" t="s">
        <v>135</v>
      </c>
      <c r="I19" s="11" t="s">
        <v>136</v>
      </c>
      <c r="J19" s="11" t="s">
        <v>137</v>
      </c>
      <c r="K19" s="11" t="s">
        <v>138</v>
      </c>
      <c r="L19" s="11" t="s">
        <v>139</v>
      </c>
      <c r="M19" s="11" t="s">
        <v>140</v>
      </c>
      <c r="N19" s="11" t="s">
        <v>141</v>
      </c>
    </row>
    <row r="20" spans="1:14">
      <c r="A20" s="4"/>
      <c r="B20" s="10"/>
      <c r="C20" s="11">
        <v>1</v>
      </c>
      <c r="D20" s="11">
        <v>2</v>
      </c>
      <c r="E20" s="11">
        <v>3</v>
      </c>
      <c r="F20" s="11">
        <v>4</v>
      </c>
      <c r="G20" s="11">
        <v>5</v>
      </c>
      <c r="H20" s="11">
        <v>6</v>
      </c>
      <c r="I20" s="11">
        <v>7</v>
      </c>
      <c r="J20" s="11">
        <v>8</v>
      </c>
      <c r="K20" s="11">
        <v>9</v>
      </c>
      <c r="L20" s="11">
        <v>10</v>
      </c>
      <c r="M20" s="11">
        <v>11</v>
      </c>
      <c r="N20" s="11">
        <v>12</v>
      </c>
    </row>
    <row r="21" spans="1:14" ht="35.25" customHeight="1">
      <c r="A21" s="702" t="s">
        <v>142</v>
      </c>
      <c r="B21" s="703"/>
      <c r="C21" s="265">
        <f>+C45</f>
        <v>0.99999999999999956</v>
      </c>
      <c r="D21" s="265">
        <f t="shared" ref="D21:N21" si="0">+D45</f>
        <v>0.99999999999999956</v>
      </c>
      <c r="E21" s="265">
        <f t="shared" si="0"/>
        <v>0.99999999999999956</v>
      </c>
      <c r="F21" s="265">
        <f t="shared" si="0"/>
        <v>0.99999999999999956</v>
      </c>
      <c r="G21" s="265">
        <f t="shared" si="0"/>
        <v>0.98329999999999995</v>
      </c>
      <c r="H21" s="265">
        <f t="shared" si="0"/>
        <v>1</v>
      </c>
      <c r="I21" s="265">
        <f t="shared" si="0"/>
        <v>1</v>
      </c>
      <c r="J21" s="265">
        <f t="shared" si="0"/>
        <v>1</v>
      </c>
      <c r="K21" s="265">
        <f t="shared" si="0"/>
        <v>1</v>
      </c>
      <c r="L21" s="265">
        <f t="shared" si="0"/>
        <v>0</v>
      </c>
      <c r="M21" s="265">
        <f t="shared" si="0"/>
        <v>0</v>
      </c>
      <c r="N21" s="265">
        <f t="shared" si="0"/>
        <v>0</v>
      </c>
    </row>
    <row r="22" spans="1:14" ht="42" customHeight="1">
      <c r="A22" s="13" t="s">
        <v>143</v>
      </c>
      <c r="B22" s="260"/>
      <c r="C22" s="261">
        <v>0.96</v>
      </c>
      <c r="D22" s="261">
        <v>0.96</v>
      </c>
      <c r="E22" s="261">
        <v>0.96</v>
      </c>
      <c r="F22" s="261">
        <v>0.96</v>
      </c>
      <c r="G22" s="261">
        <v>0.96</v>
      </c>
      <c r="H22" s="261">
        <v>0.96</v>
      </c>
      <c r="I22" s="261">
        <v>0.96</v>
      </c>
      <c r="J22" s="261">
        <v>0.96</v>
      </c>
      <c r="K22" s="261">
        <v>0.96</v>
      </c>
      <c r="L22" s="261">
        <v>0.96</v>
      </c>
      <c r="M22" s="261">
        <v>0.96</v>
      </c>
      <c r="N22" s="261">
        <v>0.96</v>
      </c>
    </row>
    <row r="23" spans="1:14" s="19" customFormat="1" ht="195" customHeight="1">
      <c r="A23" s="15" t="s">
        <v>144</v>
      </c>
      <c r="B23" s="16"/>
      <c r="C23" s="17"/>
      <c r="D23" s="17"/>
      <c r="E23" s="17"/>
      <c r="F23" s="17"/>
      <c r="G23" s="17"/>
      <c r="H23" s="17"/>
      <c r="I23" s="17"/>
      <c r="J23" s="17"/>
      <c r="K23" s="17"/>
      <c r="L23" s="17"/>
      <c r="M23" s="17"/>
      <c r="N23" s="18"/>
    </row>
    <row r="24" spans="1:14" ht="7.5" customHeight="1"/>
    <row r="25" spans="1:14" ht="25.5" customHeight="1">
      <c r="A25" s="20" t="s">
        <v>145</v>
      </c>
      <c r="B25" s="21"/>
      <c r="C25" s="22"/>
      <c r="D25" s="22"/>
      <c r="E25" s="22"/>
      <c r="F25" s="22"/>
      <c r="G25" s="23" t="s">
        <v>146</v>
      </c>
      <c r="H25" s="22"/>
      <c r="I25" s="22"/>
      <c r="J25" s="22"/>
      <c r="K25" s="22"/>
      <c r="L25" s="22"/>
      <c r="M25" s="22"/>
      <c r="N25" s="24"/>
    </row>
    <row r="26" spans="1:14" ht="25.5" customHeight="1">
      <c r="A26" s="25" t="s">
        <v>129</v>
      </c>
      <c r="G26" s="26"/>
      <c r="N26" s="27"/>
    </row>
    <row r="27" spans="1:14" s="19" customFormat="1" ht="33.75" customHeight="1">
      <c r="A27" s="28" t="str">
        <f>+IF(C20&gt;0,C19,"")</f>
        <v>ene</v>
      </c>
      <c r="B27" s="748" t="s">
        <v>652</v>
      </c>
      <c r="C27" s="749"/>
      <c r="D27" s="749"/>
      <c r="E27" s="749"/>
      <c r="F27" s="750"/>
      <c r="G27" s="745" t="s">
        <v>653</v>
      </c>
      <c r="H27" s="746"/>
      <c r="I27" s="746"/>
      <c r="J27" s="746"/>
      <c r="K27" s="746"/>
      <c r="L27" s="746"/>
      <c r="M27" s="746"/>
      <c r="N27" s="747"/>
    </row>
    <row r="28" spans="1:14" s="19" customFormat="1" ht="36" customHeight="1">
      <c r="A28" s="32" t="str">
        <f>+IF(D20&gt;0,D19,"")</f>
        <v>feb</v>
      </c>
      <c r="B28" s="748" t="s">
        <v>652</v>
      </c>
      <c r="C28" s="749"/>
      <c r="D28" s="749"/>
      <c r="E28" s="749"/>
      <c r="F28" s="750"/>
      <c r="G28" s="745" t="s">
        <v>653</v>
      </c>
      <c r="H28" s="746"/>
      <c r="I28" s="746"/>
      <c r="J28" s="746"/>
      <c r="K28" s="746"/>
      <c r="L28" s="746"/>
      <c r="M28" s="746"/>
      <c r="N28" s="747"/>
    </row>
    <row r="29" spans="1:14" s="19" customFormat="1" ht="28.5" customHeight="1">
      <c r="A29" s="32" t="str">
        <f>+IF(E20&gt;0,E19,"")</f>
        <v>mar</v>
      </c>
      <c r="B29" s="748" t="s">
        <v>652</v>
      </c>
      <c r="C29" s="749"/>
      <c r="D29" s="749"/>
      <c r="E29" s="749"/>
      <c r="F29" s="750"/>
      <c r="G29" s="745" t="s">
        <v>653</v>
      </c>
      <c r="H29" s="746"/>
      <c r="I29" s="746"/>
      <c r="J29" s="746"/>
      <c r="K29" s="746"/>
      <c r="L29" s="746"/>
      <c r="M29" s="746"/>
      <c r="N29" s="747"/>
    </row>
    <row r="30" spans="1:14" s="19" customFormat="1" ht="25.5" customHeight="1">
      <c r="A30" s="32" t="str">
        <f>+IF(F20&gt;0,F19,"")</f>
        <v>abr</v>
      </c>
      <c r="B30" s="748" t="s">
        <v>652</v>
      </c>
      <c r="C30" s="749"/>
      <c r="D30" s="749"/>
      <c r="E30" s="749"/>
      <c r="F30" s="750"/>
      <c r="G30" s="745" t="s">
        <v>653</v>
      </c>
      <c r="H30" s="746"/>
      <c r="I30" s="746"/>
      <c r="J30" s="746"/>
      <c r="K30" s="746"/>
      <c r="L30" s="746"/>
      <c r="M30" s="746"/>
      <c r="N30" s="747"/>
    </row>
    <row r="31" spans="1:14" s="19" customFormat="1" ht="28.5" customHeight="1">
      <c r="A31" s="32" t="str">
        <f>+IF(G20&gt;0,G19,"")</f>
        <v>may</v>
      </c>
      <c r="B31" s="748" t="s">
        <v>716</v>
      </c>
      <c r="C31" s="749"/>
      <c r="D31" s="749"/>
      <c r="E31" s="749"/>
      <c r="F31" s="750"/>
      <c r="G31" s="745" t="s">
        <v>653</v>
      </c>
      <c r="H31" s="746"/>
      <c r="I31" s="746"/>
      <c r="J31" s="746"/>
      <c r="K31" s="746"/>
      <c r="L31" s="746"/>
      <c r="M31" s="746"/>
      <c r="N31" s="747"/>
    </row>
    <row r="32" spans="1:14" s="19" customFormat="1" ht="34.5" customHeight="1">
      <c r="A32" s="32" t="str">
        <f>+IF(H20&gt;0,H19,"")</f>
        <v>jun</v>
      </c>
      <c r="B32" s="748" t="s">
        <v>652</v>
      </c>
      <c r="C32" s="749"/>
      <c r="D32" s="749"/>
      <c r="E32" s="749"/>
      <c r="F32" s="750"/>
      <c r="G32" s="745" t="s">
        <v>653</v>
      </c>
      <c r="H32" s="746"/>
      <c r="I32" s="746"/>
      <c r="J32" s="746"/>
      <c r="K32" s="746"/>
      <c r="L32" s="746"/>
      <c r="M32" s="746"/>
      <c r="N32" s="747"/>
    </row>
    <row r="33" spans="1:18" s="19" customFormat="1" ht="33.75" customHeight="1">
      <c r="A33" s="32" t="str">
        <f>+IF(I20&gt;0,I19,"")</f>
        <v>jul</v>
      </c>
      <c r="B33" s="748" t="s">
        <v>652</v>
      </c>
      <c r="C33" s="749"/>
      <c r="D33" s="749"/>
      <c r="E33" s="749"/>
      <c r="F33" s="750"/>
      <c r="G33" s="745" t="s">
        <v>653</v>
      </c>
      <c r="H33" s="746"/>
      <c r="I33" s="746"/>
      <c r="J33" s="746"/>
      <c r="K33" s="746"/>
      <c r="L33" s="746"/>
      <c r="M33" s="746"/>
      <c r="N33" s="747"/>
    </row>
    <row r="34" spans="1:18" s="19" customFormat="1" ht="28.5" customHeight="1">
      <c r="A34" s="32" t="str">
        <f>+IF(J20&gt;0,J19,"")</f>
        <v>ago</v>
      </c>
      <c r="B34" s="748" t="s">
        <v>737</v>
      </c>
      <c r="C34" s="749"/>
      <c r="D34" s="749"/>
      <c r="E34" s="749"/>
      <c r="F34" s="750"/>
      <c r="G34" s="745" t="s">
        <v>653</v>
      </c>
      <c r="H34" s="746"/>
      <c r="I34" s="746"/>
      <c r="J34" s="746"/>
      <c r="K34" s="746"/>
      <c r="L34" s="746"/>
      <c r="M34" s="746"/>
      <c r="N34" s="747"/>
    </row>
    <row r="35" spans="1:18" s="19" customFormat="1" ht="49.5" customHeight="1">
      <c r="A35" s="32" t="str">
        <f>+IF(K20&gt;0,K19,"")</f>
        <v>sep</v>
      </c>
      <c r="B35" s="748" t="s">
        <v>737</v>
      </c>
      <c r="C35" s="749"/>
      <c r="D35" s="749"/>
      <c r="E35" s="749"/>
      <c r="F35" s="750"/>
      <c r="G35" s="745" t="s">
        <v>653</v>
      </c>
      <c r="H35" s="746"/>
      <c r="I35" s="746"/>
      <c r="J35" s="746"/>
      <c r="K35" s="746"/>
      <c r="L35" s="746"/>
      <c r="M35" s="746"/>
      <c r="N35" s="747"/>
    </row>
    <row r="36" spans="1:18" s="19" customFormat="1" ht="28.5" customHeight="1">
      <c r="A36" s="32" t="str">
        <f>+IF(L20&gt;0,L19,"")</f>
        <v>oct</v>
      </c>
      <c r="B36" s="751"/>
      <c r="C36" s="752"/>
      <c r="D36" s="752"/>
      <c r="E36" s="752"/>
      <c r="F36" s="753"/>
      <c r="G36" s="742"/>
      <c r="H36" s="743"/>
      <c r="I36" s="743"/>
      <c r="J36" s="743"/>
      <c r="K36" s="743"/>
      <c r="L36" s="743"/>
      <c r="M36" s="743"/>
      <c r="N36" s="744"/>
    </row>
    <row r="37" spans="1:18" s="19" customFormat="1" ht="28.5" customHeight="1">
      <c r="A37" s="32" t="str">
        <f>+IF(M20&gt;0,M19,"")</f>
        <v>nov</v>
      </c>
      <c r="B37" s="751"/>
      <c r="C37" s="752"/>
      <c r="D37" s="752"/>
      <c r="E37" s="752"/>
      <c r="F37" s="753"/>
      <c r="G37" s="742"/>
      <c r="H37" s="743"/>
      <c r="I37" s="743"/>
      <c r="J37" s="743"/>
      <c r="K37" s="743"/>
      <c r="L37" s="743"/>
      <c r="M37" s="743"/>
      <c r="N37" s="744"/>
      <c r="P37" s="4">
        <v>1</v>
      </c>
      <c r="Q37" s="242">
        <f>1/24</f>
        <v>4.1666666666666664E-2</v>
      </c>
      <c r="R37" s="243">
        <f>+Q37</f>
        <v>4.1666666666666664E-2</v>
      </c>
    </row>
    <row r="38" spans="1:18" s="19" customFormat="1" ht="28.5" customHeight="1">
      <c r="A38" s="39" t="str">
        <f>+IF(N20&gt;0,N19,"")</f>
        <v>dic</v>
      </c>
      <c r="B38" s="751"/>
      <c r="C38" s="752"/>
      <c r="D38" s="752"/>
      <c r="E38" s="752"/>
      <c r="F38" s="753"/>
      <c r="G38" s="742"/>
      <c r="H38" s="743"/>
      <c r="I38" s="743"/>
      <c r="J38" s="743"/>
      <c r="K38" s="743"/>
      <c r="L38" s="743"/>
      <c r="M38" s="743"/>
      <c r="N38" s="744"/>
      <c r="P38" s="4">
        <v>2</v>
      </c>
      <c r="Q38" s="242">
        <f>1/24</f>
        <v>4.1666666666666664E-2</v>
      </c>
      <c r="R38" s="243">
        <f>+Q38+R37</f>
        <v>8.3333333333333329E-2</v>
      </c>
    </row>
    <row r="39" spans="1:18">
      <c r="P39" s="4">
        <v>3</v>
      </c>
      <c r="Q39" s="242">
        <f t="shared" ref="Q39:Q58" si="1">1/24</f>
        <v>4.1666666666666664E-2</v>
      </c>
      <c r="R39" s="243">
        <f t="shared" ref="R39:R60" si="2">+Q39+R38</f>
        <v>0.125</v>
      </c>
    </row>
    <row r="40" spans="1:18">
      <c r="C40" s="248" t="s">
        <v>130</v>
      </c>
      <c r="D40" s="248" t="s">
        <v>131</v>
      </c>
      <c r="E40" s="248" t="s">
        <v>132</v>
      </c>
      <c r="F40" s="248" t="s">
        <v>133</v>
      </c>
      <c r="G40" s="248" t="s">
        <v>134</v>
      </c>
      <c r="H40" s="248" t="s">
        <v>135</v>
      </c>
      <c r="I40" s="248" t="s">
        <v>136</v>
      </c>
      <c r="J40" s="248" t="s">
        <v>137</v>
      </c>
      <c r="K40" s="248" t="s">
        <v>138</v>
      </c>
      <c r="L40" s="248" t="s">
        <v>139</v>
      </c>
      <c r="M40" s="248" t="s">
        <v>140</v>
      </c>
      <c r="N40" s="248" t="s">
        <v>141</v>
      </c>
      <c r="P40" s="4">
        <v>4</v>
      </c>
      <c r="Q40" s="242">
        <f t="shared" si="1"/>
        <v>4.1666666666666664E-2</v>
      </c>
      <c r="R40" s="243">
        <f t="shared" si="2"/>
        <v>0.16666666666666666</v>
      </c>
    </row>
    <row r="41" spans="1:18">
      <c r="B41" s="245" t="s">
        <v>436</v>
      </c>
      <c r="C41" s="235">
        <f>C43*24</f>
        <v>744</v>
      </c>
      <c r="D41" s="235">
        <f t="shared" ref="D41:N41" si="3">D43*24</f>
        <v>672</v>
      </c>
      <c r="E41" s="235">
        <f t="shared" si="3"/>
        <v>744</v>
      </c>
      <c r="F41" s="235">
        <f>F43*24</f>
        <v>720</v>
      </c>
      <c r="G41" s="235">
        <f t="shared" si="3"/>
        <v>744</v>
      </c>
      <c r="H41" s="235">
        <f t="shared" si="3"/>
        <v>720</v>
      </c>
      <c r="I41" s="235">
        <f t="shared" si="3"/>
        <v>744</v>
      </c>
      <c r="J41" s="235">
        <f t="shared" si="3"/>
        <v>744</v>
      </c>
      <c r="K41" s="235">
        <f t="shared" si="3"/>
        <v>720</v>
      </c>
      <c r="L41" s="235">
        <f t="shared" si="3"/>
        <v>744</v>
      </c>
      <c r="M41" s="235">
        <f t="shared" si="3"/>
        <v>720</v>
      </c>
      <c r="N41" s="235">
        <f t="shared" si="3"/>
        <v>744</v>
      </c>
      <c r="P41" s="4">
        <v>5</v>
      </c>
      <c r="Q41" s="242">
        <f t="shared" si="1"/>
        <v>4.1666666666666664E-2</v>
      </c>
      <c r="R41" s="243">
        <f t="shared" si="2"/>
        <v>0.20833333333333331</v>
      </c>
    </row>
    <row r="42" spans="1:18">
      <c r="B42" s="245" t="s">
        <v>437</v>
      </c>
      <c r="C42" s="235">
        <v>0</v>
      </c>
      <c r="D42" s="235">
        <v>0</v>
      </c>
      <c r="E42" s="235">
        <v>0</v>
      </c>
      <c r="F42" s="235">
        <v>0</v>
      </c>
      <c r="G42" s="235">
        <v>12</v>
      </c>
      <c r="H42" s="235">
        <v>0</v>
      </c>
      <c r="I42" s="235">
        <v>0</v>
      </c>
      <c r="J42" s="235">
        <v>0</v>
      </c>
      <c r="K42" s="235">
        <v>0</v>
      </c>
      <c r="L42" s="235"/>
      <c r="M42" s="235"/>
      <c r="N42" s="235"/>
      <c r="P42" s="4">
        <v>6</v>
      </c>
      <c r="Q42" s="242">
        <f t="shared" si="1"/>
        <v>4.1666666666666664E-2</v>
      </c>
      <c r="R42" s="243">
        <f t="shared" si="2"/>
        <v>0.24999999999999997</v>
      </c>
    </row>
    <row r="43" spans="1:18">
      <c r="B43" s="246" t="s">
        <v>438</v>
      </c>
      <c r="C43" s="235">
        <v>31</v>
      </c>
      <c r="D43" s="235">
        <v>28</v>
      </c>
      <c r="E43" s="235">
        <v>31</v>
      </c>
      <c r="F43" s="235">
        <v>30</v>
      </c>
      <c r="G43" s="235">
        <v>31</v>
      </c>
      <c r="H43" s="235">
        <v>30</v>
      </c>
      <c r="I43" s="235">
        <v>31</v>
      </c>
      <c r="J43" s="235">
        <v>31</v>
      </c>
      <c r="K43" s="235">
        <v>30</v>
      </c>
      <c r="L43" s="235">
        <v>31</v>
      </c>
      <c r="M43" s="235">
        <v>30</v>
      </c>
      <c r="N43" s="235">
        <v>31</v>
      </c>
      <c r="P43" s="4">
        <v>7</v>
      </c>
      <c r="Q43" s="242">
        <f t="shared" si="1"/>
        <v>4.1666666666666664E-2</v>
      </c>
      <c r="R43" s="243">
        <f t="shared" si="2"/>
        <v>0.29166666666666663</v>
      </c>
    </row>
    <row r="44" spans="1:18">
      <c r="B44" s="247" t="s">
        <v>439</v>
      </c>
      <c r="C44" s="241">
        <f>(C41-C42)/C43</f>
        <v>24</v>
      </c>
      <c r="D44" s="241">
        <f t="shared" ref="D44:N44" si="4">(D41-D42)/D43</f>
        <v>24</v>
      </c>
      <c r="E44" s="241">
        <f t="shared" si="4"/>
        <v>24</v>
      </c>
      <c r="F44" s="241">
        <f t="shared" si="4"/>
        <v>24</v>
      </c>
      <c r="G44" s="241">
        <f t="shared" si="4"/>
        <v>23.612903225806452</v>
      </c>
      <c r="H44" s="241">
        <f t="shared" si="4"/>
        <v>24</v>
      </c>
      <c r="I44" s="241">
        <f t="shared" si="4"/>
        <v>24</v>
      </c>
      <c r="J44" s="241">
        <f t="shared" si="4"/>
        <v>24</v>
      </c>
      <c r="K44" s="241">
        <f t="shared" si="4"/>
        <v>24</v>
      </c>
      <c r="L44" s="241">
        <f t="shared" si="4"/>
        <v>24</v>
      </c>
      <c r="M44" s="241">
        <f t="shared" si="4"/>
        <v>24</v>
      </c>
      <c r="N44" s="241">
        <f t="shared" si="4"/>
        <v>24</v>
      </c>
      <c r="P44" s="4">
        <v>8</v>
      </c>
      <c r="Q44" s="242">
        <f t="shared" si="1"/>
        <v>4.1666666666666664E-2</v>
      </c>
      <c r="R44" s="243">
        <f t="shared" si="2"/>
        <v>0.33333333333333331</v>
      </c>
    </row>
    <row r="45" spans="1:18">
      <c r="B45" s="246" t="s">
        <v>152</v>
      </c>
      <c r="C45" s="249">
        <f>R60</f>
        <v>0.99999999999999956</v>
      </c>
      <c r="D45" s="249">
        <f>+C45</f>
        <v>0.99999999999999956</v>
      </c>
      <c r="E45" s="249">
        <f t="shared" ref="E45" si="5">+D45</f>
        <v>0.99999999999999956</v>
      </c>
      <c r="F45" s="249">
        <f>+E45</f>
        <v>0.99999999999999956</v>
      </c>
      <c r="G45" s="249">
        <v>0.98329999999999995</v>
      </c>
      <c r="H45" s="249">
        <v>1</v>
      </c>
      <c r="I45" s="249">
        <v>1</v>
      </c>
      <c r="J45" s="249">
        <v>1</v>
      </c>
      <c r="K45" s="249">
        <v>1</v>
      </c>
      <c r="L45" s="249"/>
      <c r="M45" s="249"/>
      <c r="N45" s="249"/>
      <c r="P45" s="4">
        <v>9</v>
      </c>
      <c r="Q45" s="242">
        <f t="shared" si="1"/>
        <v>4.1666666666666664E-2</v>
      </c>
      <c r="R45" s="243">
        <f t="shared" si="2"/>
        <v>0.375</v>
      </c>
    </row>
    <row r="46" spans="1:18">
      <c r="P46" s="4">
        <v>10</v>
      </c>
      <c r="Q46" s="242">
        <f t="shared" si="1"/>
        <v>4.1666666666666664E-2</v>
      </c>
      <c r="R46" s="243">
        <f t="shared" si="2"/>
        <v>0.41666666666666669</v>
      </c>
    </row>
    <row r="47" spans="1:18">
      <c r="P47" s="4">
        <v>11</v>
      </c>
      <c r="Q47" s="242">
        <f t="shared" si="1"/>
        <v>4.1666666666666664E-2</v>
      </c>
      <c r="R47" s="243">
        <f t="shared" si="2"/>
        <v>0.45833333333333337</v>
      </c>
    </row>
    <row r="48" spans="1:18">
      <c r="P48" s="4">
        <v>12</v>
      </c>
      <c r="Q48" s="242">
        <f t="shared" si="1"/>
        <v>4.1666666666666664E-2</v>
      </c>
      <c r="R48" s="243">
        <f t="shared" si="2"/>
        <v>0.5</v>
      </c>
    </row>
    <row r="49" spans="16:20">
      <c r="P49" s="4">
        <v>13</v>
      </c>
      <c r="Q49" s="242">
        <f t="shared" si="1"/>
        <v>4.1666666666666664E-2</v>
      </c>
      <c r="R49" s="243">
        <f t="shared" si="2"/>
        <v>0.54166666666666663</v>
      </c>
    </row>
    <row r="50" spans="16:20">
      <c r="P50" s="4">
        <v>14</v>
      </c>
      <c r="Q50" s="242">
        <f t="shared" si="1"/>
        <v>4.1666666666666664E-2</v>
      </c>
      <c r="R50" s="243">
        <f t="shared" si="2"/>
        <v>0.58333333333333326</v>
      </c>
    </row>
    <row r="51" spans="16:20">
      <c r="P51" s="4">
        <v>15</v>
      </c>
      <c r="Q51" s="242">
        <f t="shared" si="1"/>
        <v>4.1666666666666664E-2</v>
      </c>
      <c r="R51" s="243">
        <f t="shared" si="2"/>
        <v>0.62499999999999989</v>
      </c>
    </row>
    <row r="52" spans="16:20">
      <c r="P52" s="4">
        <v>16</v>
      </c>
      <c r="Q52" s="242">
        <f t="shared" si="1"/>
        <v>4.1666666666666664E-2</v>
      </c>
      <c r="R52" s="243">
        <f t="shared" si="2"/>
        <v>0.66666666666666652</v>
      </c>
      <c r="T52" s="209">
        <f>Q59/10</f>
        <v>4.1666666666666666E-3</v>
      </c>
    </row>
    <row r="53" spans="16:20">
      <c r="P53" s="4">
        <v>17</v>
      </c>
      <c r="Q53" s="242">
        <f t="shared" si="1"/>
        <v>4.1666666666666664E-2</v>
      </c>
      <c r="R53" s="243">
        <f t="shared" si="2"/>
        <v>0.70833333333333315</v>
      </c>
      <c r="T53" s="209">
        <f>Q60/10</f>
        <v>4.1666666666666666E-3</v>
      </c>
    </row>
    <row r="54" spans="16:20">
      <c r="P54" s="4">
        <v>18</v>
      </c>
      <c r="Q54" s="242">
        <f t="shared" si="1"/>
        <v>4.1666666666666664E-2</v>
      </c>
      <c r="R54" s="243">
        <f t="shared" si="2"/>
        <v>0.74999999999999978</v>
      </c>
      <c r="T54" s="209">
        <f>+T53</f>
        <v>4.1666666666666666E-3</v>
      </c>
    </row>
    <row r="55" spans="16:20">
      <c r="P55" s="4">
        <v>19</v>
      </c>
      <c r="Q55" s="242">
        <f t="shared" si="1"/>
        <v>4.1666666666666664E-2</v>
      </c>
      <c r="R55" s="243">
        <f t="shared" si="2"/>
        <v>0.79166666666666641</v>
      </c>
      <c r="T55" s="255">
        <f>+T54</f>
        <v>4.1666666666666666E-3</v>
      </c>
    </row>
    <row r="56" spans="16:20">
      <c r="P56" s="4">
        <v>20</v>
      </c>
      <c r="Q56" s="242">
        <f t="shared" si="1"/>
        <v>4.1666666666666664E-2</v>
      </c>
      <c r="R56" s="243">
        <f t="shared" si="2"/>
        <v>0.83333333333333304</v>
      </c>
      <c r="T56" s="255">
        <f>+T55</f>
        <v>4.1666666666666666E-3</v>
      </c>
    </row>
    <row r="57" spans="16:20">
      <c r="P57" s="4">
        <v>21</v>
      </c>
      <c r="Q57" s="242">
        <f t="shared" si="1"/>
        <v>4.1666666666666664E-2</v>
      </c>
      <c r="R57" s="243">
        <f t="shared" si="2"/>
        <v>0.87499999999999967</v>
      </c>
    </row>
    <row r="58" spans="16:20">
      <c r="P58" s="4">
        <v>22</v>
      </c>
      <c r="Q58" s="242">
        <f t="shared" si="1"/>
        <v>4.1666666666666664E-2</v>
      </c>
      <c r="R58" s="243">
        <f t="shared" si="2"/>
        <v>0.9166666666666663</v>
      </c>
    </row>
    <row r="59" spans="16:20">
      <c r="P59" s="4">
        <v>23</v>
      </c>
      <c r="Q59" s="242">
        <f>1/24</f>
        <v>4.1666666666666664E-2</v>
      </c>
      <c r="R59" s="243">
        <f t="shared" si="2"/>
        <v>0.95833333333333293</v>
      </c>
    </row>
    <row r="60" spans="16:20">
      <c r="P60" s="4">
        <v>24</v>
      </c>
      <c r="Q60" s="242">
        <f>1/24</f>
        <v>4.1666666666666664E-2</v>
      </c>
      <c r="R60" s="243">
        <f t="shared" si="2"/>
        <v>0.99999999999999956</v>
      </c>
    </row>
  </sheetData>
  <sheetProtection formatCells="0" formatColumns="0" formatRows="0"/>
  <mergeCells count="44">
    <mergeCell ref="A1:J4"/>
    <mergeCell ref="K1:L1"/>
    <mergeCell ref="M1:N1"/>
    <mergeCell ref="K2:L2"/>
    <mergeCell ref="M2:N2"/>
    <mergeCell ref="K3:L3"/>
    <mergeCell ref="M3:N3"/>
    <mergeCell ref="K4:L4"/>
    <mergeCell ref="M4:N4"/>
    <mergeCell ref="C6:N6"/>
    <mergeCell ref="C7:N7"/>
    <mergeCell ref="C9:N9"/>
    <mergeCell ref="C13:N13"/>
    <mergeCell ref="A14:B14"/>
    <mergeCell ref="C14:N14"/>
    <mergeCell ref="G29:N29"/>
    <mergeCell ref="G30:N30"/>
    <mergeCell ref="G31:N31"/>
    <mergeCell ref="G32:N32"/>
    <mergeCell ref="B27:F27"/>
    <mergeCell ref="B28:F28"/>
    <mergeCell ref="B29:F29"/>
    <mergeCell ref="B30:F30"/>
    <mergeCell ref="B31:F31"/>
    <mergeCell ref="B32:F32"/>
    <mergeCell ref="C15:N15"/>
    <mergeCell ref="C16:N16"/>
    <mergeCell ref="A21:B21"/>
    <mergeCell ref="G27:N27"/>
    <mergeCell ref="G28:N28"/>
    <mergeCell ref="A17:B17"/>
    <mergeCell ref="C17:N17"/>
    <mergeCell ref="G38:N38"/>
    <mergeCell ref="G33:N33"/>
    <mergeCell ref="G34:N34"/>
    <mergeCell ref="B35:F35"/>
    <mergeCell ref="G35:N35"/>
    <mergeCell ref="G36:N36"/>
    <mergeCell ref="G37:N37"/>
    <mergeCell ref="B33:F33"/>
    <mergeCell ref="B34:F34"/>
    <mergeCell ref="B36:F36"/>
    <mergeCell ref="B37:F37"/>
    <mergeCell ref="B38:F38"/>
  </mergeCells>
  <hyperlinks>
    <hyperlink ref="O5" location="'Matriz Sta Ana'!A1" display="Volver" xr:uid="{609DF214-DCD8-48B3-93A5-5A32277EE20E}"/>
  </hyperlinks>
  <pageMargins left="0.7" right="0.7" top="0.75" bottom="0.75" header="0.3" footer="0.3"/>
  <pageSetup scale="68" fitToHeight="0" orientation="portrait" r:id="rId1"/>
  <rowBreaks count="1" manualBreakCount="1">
    <brk id="22" max="13" man="1"/>
  </rowBreaks>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B14D74-3334-4105-8893-AADFC8AAB807}">
  <sheetPr>
    <tabColor rgb="FFFFFF00"/>
  </sheetPr>
  <dimension ref="A1:U75"/>
  <sheetViews>
    <sheetView view="pageBreakPreview" topLeftCell="A19" zoomScale="90" zoomScaleNormal="55" zoomScaleSheetLayoutView="90" workbookViewId="0">
      <selection activeCell="K22" sqref="K22"/>
    </sheetView>
  </sheetViews>
  <sheetFormatPr baseColWidth="10" defaultColWidth="11.42578125" defaultRowHeight="16.5"/>
  <cols>
    <col min="1" max="1" width="7.42578125" style="5" customWidth="1"/>
    <col min="2" max="2" width="33.5703125" style="5" customWidth="1"/>
    <col min="3" max="4" width="8.42578125" style="4" customWidth="1"/>
    <col min="5" max="5" width="7.85546875" style="4" customWidth="1"/>
    <col min="6" max="6" width="8" style="4" customWidth="1"/>
    <col min="7" max="7" width="9" style="4" customWidth="1"/>
    <col min="8" max="8" width="7.85546875" style="4" customWidth="1"/>
    <col min="9" max="10" width="8.140625" style="4" customWidth="1"/>
    <col min="11" max="11" width="8.28515625" style="4" customWidth="1"/>
    <col min="12" max="14" width="7.140625" style="4" customWidth="1"/>
    <col min="15" max="15" width="11.42578125" style="4"/>
    <col min="16" max="16" width="5.42578125" style="4" customWidth="1"/>
    <col min="17" max="17" width="12.28515625" style="4" customWidth="1"/>
    <col min="18" max="18" width="11.42578125" style="4"/>
    <col min="19" max="19" width="14.140625" style="4" customWidth="1"/>
    <col min="20" max="20" width="2.42578125" style="4" customWidth="1"/>
    <col min="21"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9.5" customHeight="1">
      <c r="A6" s="5" t="s">
        <v>121</v>
      </c>
      <c r="C6" s="734" t="s">
        <v>727</v>
      </c>
      <c r="D6" s="734"/>
      <c r="E6" s="734"/>
      <c r="F6" s="734"/>
      <c r="G6" s="734"/>
      <c r="H6" s="734"/>
      <c r="I6" s="734"/>
      <c r="J6" s="734"/>
      <c r="K6" s="734"/>
      <c r="L6" s="734"/>
      <c r="M6" s="734"/>
      <c r="N6" s="734"/>
    </row>
    <row r="7" spans="1:15" ht="17.25" customHeight="1">
      <c r="A7" s="5" t="s">
        <v>3</v>
      </c>
      <c r="C7" s="700" t="s">
        <v>724</v>
      </c>
      <c r="D7" s="700"/>
      <c r="E7" s="700"/>
      <c r="F7" s="700"/>
      <c r="G7" s="700"/>
      <c r="H7" s="700"/>
      <c r="I7" s="700"/>
      <c r="J7" s="700"/>
      <c r="K7" s="700"/>
      <c r="L7" s="700"/>
      <c r="M7" s="700"/>
      <c r="N7" s="700"/>
    </row>
    <row r="8" spans="1:15">
      <c r="A8" s="5" t="s">
        <v>122</v>
      </c>
      <c r="C8" s="700" t="s">
        <v>296</v>
      </c>
      <c r="D8" s="700"/>
      <c r="E8" s="700"/>
      <c r="F8" s="700"/>
      <c r="G8" s="700"/>
      <c r="H8" s="700"/>
      <c r="I8" s="700"/>
      <c r="J8" s="700"/>
      <c r="K8" s="700"/>
      <c r="L8" s="700"/>
      <c r="M8" s="700"/>
      <c r="N8" s="700"/>
    </row>
    <row r="9" spans="1:15" ht="18" customHeight="1">
      <c r="A9" s="5" t="s">
        <v>453</v>
      </c>
      <c r="C9" s="700" t="s">
        <v>725</v>
      </c>
      <c r="D9" s="700"/>
      <c r="E9" s="700"/>
      <c r="F9" s="700"/>
      <c r="G9" s="700"/>
      <c r="H9" s="700"/>
      <c r="I9" s="700"/>
      <c r="J9" s="700"/>
      <c r="K9" s="700"/>
      <c r="L9" s="700"/>
      <c r="M9" s="700"/>
      <c r="N9" s="700"/>
    </row>
    <row r="10" spans="1:15" ht="18" customHeight="1">
      <c r="A10" s="5" t="s">
        <v>4</v>
      </c>
      <c r="C10" s="254">
        <v>0.88</v>
      </c>
      <c r="D10" s="253"/>
      <c r="E10" s="253"/>
      <c r="F10" s="253"/>
      <c r="G10" s="253"/>
      <c r="H10" s="253"/>
      <c r="I10" s="253"/>
      <c r="J10" s="253"/>
      <c r="K10" s="253"/>
      <c r="L10" s="253"/>
      <c r="M10" s="253"/>
      <c r="N10" s="253"/>
    </row>
    <row r="11" spans="1:15">
      <c r="A11" s="5" t="s">
        <v>5</v>
      </c>
      <c r="C11" s="64" t="s">
        <v>15</v>
      </c>
      <c r="D11" s="64"/>
      <c r="E11" s="64"/>
      <c r="F11" s="64"/>
      <c r="G11" s="64"/>
      <c r="H11" s="64"/>
      <c r="I11" s="64"/>
      <c r="J11" s="64"/>
      <c r="K11" s="64"/>
      <c r="L11" s="64"/>
      <c r="M11" s="64"/>
      <c r="N11" s="64"/>
    </row>
    <row r="12" spans="1:15">
      <c r="A12" s="5" t="s">
        <v>6</v>
      </c>
      <c r="C12" s="64" t="s">
        <v>16</v>
      </c>
      <c r="D12" s="64"/>
      <c r="E12" s="64"/>
      <c r="F12" s="64"/>
      <c r="G12" s="64"/>
      <c r="H12" s="64"/>
      <c r="I12" s="64"/>
      <c r="J12" s="64"/>
      <c r="K12" s="64"/>
      <c r="L12" s="64"/>
      <c r="M12" s="64"/>
      <c r="N12" s="64"/>
    </row>
    <row r="13" spans="1:15" ht="18" customHeight="1">
      <c r="A13" s="5" t="s">
        <v>7</v>
      </c>
      <c r="C13" s="757" t="s">
        <v>21</v>
      </c>
      <c r="D13" s="757"/>
      <c r="E13" s="757"/>
      <c r="F13" s="757"/>
      <c r="G13" s="757"/>
      <c r="H13" s="757"/>
      <c r="I13" s="757"/>
      <c r="J13" s="757"/>
      <c r="K13" s="757"/>
      <c r="L13" s="757"/>
      <c r="M13" s="757"/>
      <c r="N13" s="757"/>
    </row>
    <row r="14" spans="1:15" ht="30" customHeight="1">
      <c r="A14" s="737" t="s">
        <v>125</v>
      </c>
      <c r="B14" s="737"/>
      <c r="C14" s="700" t="s">
        <v>16</v>
      </c>
      <c r="D14" s="700"/>
      <c r="E14" s="700"/>
      <c r="F14" s="700"/>
      <c r="G14" s="700"/>
      <c r="H14" s="700"/>
      <c r="I14" s="700"/>
      <c r="J14" s="700"/>
      <c r="K14" s="700"/>
      <c r="L14" s="700"/>
      <c r="M14" s="700"/>
      <c r="N14" s="700"/>
    </row>
    <row r="15" spans="1:15" ht="38.25" customHeight="1">
      <c r="A15" s="5" t="s">
        <v>127</v>
      </c>
      <c r="C15" s="700" t="s">
        <v>728</v>
      </c>
      <c r="D15" s="700"/>
      <c r="E15" s="700"/>
      <c r="F15" s="700"/>
      <c r="G15" s="700"/>
      <c r="H15" s="700"/>
      <c r="I15" s="700"/>
      <c r="J15" s="700"/>
      <c r="K15" s="700"/>
      <c r="L15" s="700"/>
      <c r="M15" s="700"/>
      <c r="N15" s="700"/>
    </row>
    <row r="16" spans="1:15" ht="24.75" customHeight="1">
      <c r="A16" s="5" t="s">
        <v>10</v>
      </c>
      <c r="C16" s="701" t="s">
        <v>247</v>
      </c>
      <c r="D16" s="701"/>
      <c r="E16" s="701"/>
      <c r="F16" s="701"/>
      <c r="G16" s="701"/>
      <c r="H16" s="701"/>
      <c r="I16" s="701"/>
      <c r="J16" s="701"/>
      <c r="K16" s="701"/>
      <c r="L16" s="701"/>
      <c r="M16" s="701"/>
      <c r="N16" s="701"/>
    </row>
    <row r="17" spans="1:14" ht="24.75" customHeight="1">
      <c r="A17" s="707" t="s">
        <v>443</v>
      </c>
      <c r="B17" s="707"/>
      <c r="C17" s="708" t="s">
        <v>714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0" t="s">
        <v>129</v>
      </c>
      <c r="C19" s="11" t="s">
        <v>130</v>
      </c>
      <c r="D19" s="11" t="s">
        <v>131</v>
      </c>
      <c r="E19" s="11" t="s">
        <v>132</v>
      </c>
      <c r="F19" s="11" t="s">
        <v>133</v>
      </c>
      <c r="G19" s="11" t="s">
        <v>134</v>
      </c>
      <c r="H19" s="11" t="s">
        <v>135</v>
      </c>
      <c r="I19" s="11" t="s">
        <v>136</v>
      </c>
      <c r="J19" s="11" t="s">
        <v>137</v>
      </c>
      <c r="K19" s="11" t="s">
        <v>138</v>
      </c>
      <c r="L19" s="11" t="s">
        <v>139</v>
      </c>
      <c r="M19" s="11" t="s">
        <v>140</v>
      </c>
      <c r="N19" s="11" t="s">
        <v>141</v>
      </c>
    </row>
    <row r="20" spans="1:14">
      <c r="A20" s="4"/>
      <c r="B20" s="10"/>
      <c r="C20" s="11">
        <v>1</v>
      </c>
      <c r="D20" s="11">
        <v>2</v>
      </c>
      <c r="E20" s="11">
        <v>3</v>
      </c>
      <c r="F20" s="11">
        <v>4</v>
      </c>
      <c r="G20" s="11">
        <v>5</v>
      </c>
      <c r="H20" s="11">
        <v>6</v>
      </c>
      <c r="I20" s="11">
        <v>7</v>
      </c>
      <c r="J20" s="11">
        <v>8</v>
      </c>
      <c r="K20" s="11">
        <v>9</v>
      </c>
      <c r="L20" s="11">
        <v>10</v>
      </c>
      <c r="M20" s="11">
        <v>11</v>
      </c>
      <c r="N20" s="11">
        <v>12</v>
      </c>
    </row>
    <row r="21" spans="1:14" ht="35.25" customHeight="1">
      <c r="A21" s="702" t="s">
        <v>142</v>
      </c>
      <c r="B21" s="758"/>
      <c r="C21" s="629">
        <v>0.90429999999999999</v>
      </c>
      <c r="D21" s="629">
        <v>0.90180000000000005</v>
      </c>
      <c r="E21" s="629">
        <v>0.90910000000000002</v>
      </c>
      <c r="F21" s="629">
        <v>0.91790000000000005</v>
      </c>
      <c r="G21" s="629">
        <v>0.91769999999999996</v>
      </c>
      <c r="H21" s="629">
        <v>0.91659999999999997</v>
      </c>
      <c r="I21" s="629">
        <v>0.92349999999999999</v>
      </c>
      <c r="J21" s="629">
        <v>0.9224</v>
      </c>
      <c r="K21" s="629">
        <v>0.9143</v>
      </c>
      <c r="L21" s="191"/>
      <c r="M21" s="191"/>
      <c r="N21" s="191"/>
    </row>
    <row r="22" spans="1:14" ht="42" customHeight="1">
      <c r="A22" s="13" t="s">
        <v>143</v>
      </c>
      <c r="B22" s="13"/>
      <c r="C22" s="630">
        <f>+C44</f>
        <v>0.88</v>
      </c>
      <c r="D22" s="630">
        <f t="shared" ref="D22:K22" si="0">+D44</f>
        <v>0.88</v>
      </c>
      <c r="E22" s="630">
        <f t="shared" si="0"/>
        <v>0.88</v>
      </c>
      <c r="F22" s="630">
        <f t="shared" si="0"/>
        <v>0.88</v>
      </c>
      <c r="G22" s="630">
        <f t="shared" si="0"/>
        <v>0.88</v>
      </c>
      <c r="H22" s="630">
        <f t="shared" si="0"/>
        <v>0.88</v>
      </c>
      <c r="I22" s="630">
        <f t="shared" si="0"/>
        <v>0.88</v>
      </c>
      <c r="J22" s="630">
        <f t="shared" si="0"/>
        <v>0.88</v>
      </c>
      <c r="K22" s="630">
        <f t="shared" si="0"/>
        <v>0.88</v>
      </c>
      <c r="L22" s="14"/>
      <c r="M22" s="14"/>
      <c r="N22" s="14"/>
    </row>
    <row r="23" spans="1:14" s="19" customFormat="1" ht="205.5" customHeight="1">
      <c r="A23" s="15" t="s">
        <v>144</v>
      </c>
      <c r="B23" s="16"/>
      <c r="C23" s="17"/>
      <c r="D23" s="17"/>
      <c r="E23" s="17"/>
      <c r="F23" s="17"/>
      <c r="G23" s="17"/>
      <c r="H23" s="17"/>
      <c r="I23" s="17"/>
      <c r="J23" s="17"/>
      <c r="K23" s="17"/>
      <c r="L23" s="17"/>
      <c r="M23" s="17"/>
      <c r="N23" s="18"/>
    </row>
    <row r="24" spans="1:14" ht="7.5" customHeight="1"/>
    <row r="25" spans="1:14" ht="25.5" customHeight="1">
      <c r="A25" s="20" t="s">
        <v>145</v>
      </c>
      <c r="B25" s="21"/>
      <c r="C25" s="22"/>
      <c r="D25" s="22"/>
      <c r="E25" s="22"/>
      <c r="F25" s="22"/>
      <c r="G25" s="23" t="s">
        <v>146</v>
      </c>
      <c r="H25" s="22"/>
      <c r="I25" s="22"/>
      <c r="J25" s="22"/>
      <c r="K25" s="22"/>
      <c r="L25" s="22"/>
      <c r="M25" s="22"/>
      <c r="N25" s="24"/>
    </row>
    <row r="26" spans="1:14" ht="25.5" customHeight="1">
      <c r="A26" s="25" t="s">
        <v>129</v>
      </c>
      <c r="G26" s="26"/>
      <c r="N26" s="27"/>
    </row>
    <row r="27" spans="1:14" s="19" customFormat="1" ht="55.15" customHeight="1">
      <c r="A27" s="324" t="str">
        <f>+IF(C20&gt;0,C19,"")</f>
        <v>ene</v>
      </c>
      <c r="B27" s="756" t="s">
        <v>738</v>
      </c>
      <c r="C27" s="756"/>
      <c r="D27" s="756"/>
      <c r="E27" s="756"/>
      <c r="F27" s="756"/>
      <c r="G27" s="754" t="s">
        <v>653</v>
      </c>
      <c r="H27" s="754"/>
      <c r="I27" s="754"/>
      <c r="J27" s="754"/>
      <c r="K27" s="754"/>
      <c r="L27" s="754"/>
      <c r="M27" s="754"/>
      <c r="N27" s="754"/>
    </row>
    <row r="28" spans="1:14" s="19" customFormat="1" ht="55.15" customHeight="1">
      <c r="A28" s="325" t="str">
        <f>+IF(D20&gt;0,D19,"")</f>
        <v>feb</v>
      </c>
      <c r="B28" s="756" t="s">
        <v>739</v>
      </c>
      <c r="C28" s="756"/>
      <c r="D28" s="756"/>
      <c r="E28" s="756"/>
      <c r="F28" s="756"/>
      <c r="G28" s="754" t="s">
        <v>653</v>
      </c>
      <c r="H28" s="754"/>
      <c r="I28" s="754"/>
      <c r="J28" s="754"/>
      <c r="K28" s="754"/>
      <c r="L28" s="754"/>
      <c r="M28" s="754"/>
      <c r="N28" s="754"/>
    </row>
    <row r="29" spans="1:14" s="19" customFormat="1" ht="55.15" customHeight="1">
      <c r="A29" s="325" t="str">
        <f>+IF(E20&gt;0,E19,"")</f>
        <v>mar</v>
      </c>
      <c r="B29" s="756" t="s">
        <v>740</v>
      </c>
      <c r="C29" s="756"/>
      <c r="D29" s="756"/>
      <c r="E29" s="756"/>
      <c r="F29" s="756"/>
      <c r="G29" s="754" t="s">
        <v>653</v>
      </c>
      <c r="H29" s="754"/>
      <c r="I29" s="754"/>
      <c r="J29" s="754"/>
      <c r="K29" s="754"/>
      <c r="L29" s="754"/>
      <c r="M29" s="754"/>
      <c r="N29" s="754"/>
    </row>
    <row r="30" spans="1:14" s="19" customFormat="1" ht="55.15" customHeight="1">
      <c r="A30" s="32" t="str">
        <f>+IF(F20&gt;0,F19,"")</f>
        <v>abr</v>
      </c>
      <c r="B30" s="756" t="s">
        <v>741</v>
      </c>
      <c r="C30" s="756"/>
      <c r="D30" s="756"/>
      <c r="E30" s="756"/>
      <c r="F30" s="756"/>
      <c r="G30" s="754" t="s">
        <v>653</v>
      </c>
      <c r="H30" s="754"/>
      <c r="I30" s="754"/>
      <c r="J30" s="754"/>
      <c r="K30" s="754"/>
      <c r="L30" s="754"/>
      <c r="M30" s="754"/>
      <c r="N30" s="754"/>
    </row>
    <row r="31" spans="1:14" s="19" customFormat="1" ht="55.15" customHeight="1">
      <c r="A31" s="32" t="str">
        <f>+IF(G20&gt;0,G19,"")</f>
        <v>may</v>
      </c>
      <c r="B31" s="756" t="s">
        <v>742</v>
      </c>
      <c r="C31" s="756"/>
      <c r="D31" s="756"/>
      <c r="E31" s="756"/>
      <c r="F31" s="756"/>
      <c r="G31" s="754" t="s">
        <v>653</v>
      </c>
      <c r="H31" s="754"/>
      <c r="I31" s="754"/>
      <c r="J31" s="754"/>
      <c r="K31" s="754"/>
      <c r="L31" s="754"/>
      <c r="M31" s="754"/>
      <c r="N31" s="754"/>
    </row>
    <row r="32" spans="1:14" s="19" customFormat="1" ht="55.15" customHeight="1">
      <c r="A32" s="32" t="str">
        <f>+IF(H20&gt;0,H19,"")</f>
        <v>jun</v>
      </c>
      <c r="B32" s="756" t="s">
        <v>743</v>
      </c>
      <c r="C32" s="756"/>
      <c r="D32" s="756"/>
      <c r="E32" s="756"/>
      <c r="F32" s="756"/>
      <c r="G32" s="754" t="s">
        <v>653</v>
      </c>
      <c r="H32" s="754"/>
      <c r="I32" s="754"/>
      <c r="J32" s="754"/>
      <c r="K32" s="754"/>
      <c r="L32" s="754"/>
      <c r="M32" s="754"/>
      <c r="N32" s="754"/>
    </row>
    <row r="33" spans="1:21" s="19" customFormat="1" ht="55.15" customHeight="1">
      <c r="A33" s="32" t="str">
        <f>+IF(I20&gt;0,I19,"")</f>
        <v>jul</v>
      </c>
      <c r="B33" s="756" t="s">
        <v>744</v>
      </c>
      <c r="C33" s="756"/>
      <c r="D33" s="756"/>
      <c r="E33" s="756"/>
      <c r="F33" s="756"/>
      <c r="G33" s="754" t="s">
        <v>653</v>
      </c>
      <c r="H33" s="754"/>
      <c r="I33" s="754"/>
      <c r="J33" s="754"/>
      <c r="K33" s="754"/>
      <c r="L33" s="754"/>
      <c r="M33" s="754"/>
      <c r="N33" s="754"/>
    </row>
    <row r="34" spans="1:21" s="19" customFormat="1" ht="55.15" customHeight="1">
      <c r="A34" s="32" t="str">
        <f>+IF(J20&gt;0,J19,"")</f>
        <v>ago</v>
      </c>
      <c r="B34" s="756" t="s">
        <v>745</v>
      </c>
      <c r="C34" s="756"/>
      <c r="D34" s="756"/>
      <c r="E34" s="756"/>
      <c r="F34" s="756"/>
      <c r="G34" s="754" t="s">
        <v>653</v>
      </c>
      <c r="H34" s="754"/>
      <c r="I34" s="754"/>
      <c r="J34" s="754"/>
      <c r="K34" s="754"/>
      <c r="L34" s="754"/>
      <c r="M34" s="754"/>
      <c r="N34" s="754"/>
    </row>
    <row r="35" spans="1:21" s="19" customFormat="1" ht="55.15" customHeight="1">
      <c r="A35" s="32" t="str">
        <f>+IF(K20&gt;0,K19,"")</f>
        <v>sep</v>
      </c>
      <c r="B35" s="756" t="s">
        <v>746</v>
      </c>
      <c r="C35" s="756"/>
      <c r="D35" s="756"/>
      <c r="E35" s="756"/>
      <c r="F35" s="756"/>
      <c r="G35" s="754" t="s">
        <v>653</v>
      </c>
      <c r="H35" s="754"/>
      <c r="I35" s="754"/>
      <c r="J35" s="754"/>
      <c r="K35" s="754"/>
      <c r="L35" s="754"/>
      <c r="M35" s="754"/>
      <c r="N35" s="754"/>
    </row>
    <row r="36" spans="1:21" s="19" customFormat="1" ht="55.15" customHeight="1">
      <c r="A36" s="32" t="str">
        <f>+IF(L20&gt;0,L19,"")</f>
        <v>oct</v>
      </c>
      <c r="B36" s="756"/>
      <c r="C36" s="756"/>
      <c r="D36" s="756"/>
      <c r="E36" s="756"/>
      <c r="F36" s="756"/>
      <c r="G36" s="754"/>
      <c r="H36" s="754"/>
      <c r="I36" s="754"/>
      <c r="J36" s="754"/>
      <c r="K36" s="754"/>
      <c r="L36" s="754"/>
      <c r="M36" s="754"/>
      <c r="N36" s="754"/>
    </row>
    <row r="37" spans="1:21" s="19" customFormat="1" ht="55.15" customHeight="1">
      <c r="A37" s="32" t="str">
        <f>+IF(M20&gt;0,M19,"")</f>
        <v>nov</v>
      </c>
      <c r="B37" s="748"/>
      <c r="C37" s="749"/>
      <c r="D37" s="749"/>
      <c r="E37" s="749"/>
      <c r="F37" s="750"/>
      <c r="G37" s="754"/>
      <c r="H37" s="754"/>
      <c r="I37" s="754"/>
      <c r="J37" s="754"/>
      <c r="K37" s="754"/>
      <c r="L37" s="754"/>
      <c r="M37" s="754"/>
      <c r="N37" s="754"/>
    </row>
    <row r="38" spans="1:21" s="19" customFormat="1" ht="55.15" customHeight="1">
      <c r="A38" s="39" t="str">
        <f>+IF(N20&gt;0,N19,"")</f>
        <v>dic</v>
      </c>
      <c r="B38" s="748"/>
      <c r="C38" s="749"/>
      <c r="D38" s="749"/>
      <c r="E38" s="749"/>
      <c r="F38" s="750"/>
      <c r="G38" s="754"/>
      <c r="H38" s="754"/>
      <c r="I38" s="754"/>
      <c r="J38" s="754"/>
      <c r="K38" s="754"/>
      <c r="L38" s="754"/>
      <c r="M38" s="754"/>
      <c r="N38" s="754"/>
    </row>
    <row r="41" spans="1:21">
      <c r="C41" s="248" t="s">
        <v>130</v>
      </c>
      <c r="D41" s="248" t="s">
        <v>131</v>
      </c>
      <c r="E41" s="248" t="s">
        <v>132</v>
      </c>
      <c r="F41" s="248" t="s">
        <v>133</v>
      </c>
      <c r="G41" s="248" t="s">
        <v>134</v>
      </c>
      <c r="H41" s="248" t="s">
        <v>135</v>
      </c>
      <c r="I41" s="248" t="s">
        <v>136</v>
      </c>
      <c r="J41" s="248" t="s">
        <v>137</v>
      </c>
      <c r="K41" s="248" t="s">
        <v>138</v>
      </c>
      <c r="L41" s="248" t="s">
        <v>139</v>
      </c>
      <c r="M41" s="248" t="s">
        <v>140</v>
      </c>
      <c r="N41" s="248" t="s">
        <v>141</v>
      </c>
    </row>
    <row r="42" spans="1:21">
      <c r="B42" s="143" t="s">
        <v>729</v>
      </c>
      <c r="C42" s="453">
        <v>9.5699999999999993E-2</v>
      </c>
      <c r="D42" s="453">
        <v>9.8199999999999996E-2</v>
      </c>
      <c r="E42" s="453">
        <v>9.0899999999999995E-2</v>
      </c>
      <c r="F42" s="453">
        <v>8.2100000000000006E-2</v>
      </c>
      <c r="G42" s="453">
        <v>8.2299999999999998E-2</v>
      </c>
      <c r="H42" s="453">
        <v>8.3400000000000002E-2</v>
      </c>
      <c r="I42" s="453">
        <v>7.6499999999999999E-2</v>
      </c>
      <c r="J42" s="453">
        <v>7.7600000000000002E-2</v>
      </c>
      <c r="K42" s="453">
        <v>8.5699999999999998E-2</v>
      </c>
      <c r="L42" s="453"/>
      <c r="M42" s="453"/>
      <c r="N42" s="453"/>
      <c r="P42" s="4" t="s">
        <v>729</v>
      </c>
      <c r="U42" s="250"/>
    </row>
    <row r="43" spans="1:21">
      <c r="B43" s="143" t="s">
        <v>152</v>
      </c>
      <c r="C43" s="452" t="str">
        <f>IF(C42&lt;=12%,"100%",IF(C42&lt;=22%,"80%",IF(C42&lt;=32%,"60%",IF(C42&lt;=42%,"40%",IF(C42&lt;=62%,"20%","ERROR")))))</f>
        <v>100%</v>
      </c>
      <c r="D43" s="452" t="str">
        <f t="shared" ref="D43:K43" si="1">IF(D42&lt;=12%,"100%",IF(D42&lt;=22%,"80%",IF(D42&lt;=32%,"60%",IF(D42&lt;=42%,"40%",IF(D42&lt;=62%,"20%","ERROR")))))</f>
        <v>100%</v>
      </c>
      <c r="E43" s="452" t="str">
        <f t="shared" si="1"/>
        <v>100%</v>
      </c>
      <c r="F43" s="452" t="str">
        <f t="shared" si="1"/>
        <v>100%</v>
      </c>
      <c r="G43" s="452" t="str">
        <f t="shared" si="1"/>
        <v>100%</v>
      </c>
      <c r="H43" s="452" t="str">
        <f t="shared" si="1"/>
        <v>100%</v>
      </c>
      <c r="I43" s="452" t="str">
        <f t="shared" si="1"/>
        <v>100%</v>
      </c>
      <c r="J43" s="452" t="str">
        <f t="shared" si="1"/>
        <v>100%</v>
      </c>
      <c r="K43" s="452" t="str">
        <f t="shared" si="1"/>
        <v>100%</v>
      </c>
      <c r="L43" s="346"/>
      <c r="M43" s="452"/>
      <c r="N43" s="452"/>
      <c r="O43" s="755"/>
      <c r="P43" s="157">
        <v>0</v>
      </c>
      <c r="Q43" s="233">
        <v>1</v>
      </c>
      <c r="U43" s="251"/>
    </row>
    <row r="44" spans="1:21">
      <c r="B44" s="143" t="s">
        <v>154</v>
      </c>
      <c r="C44" s="252">
        <v>0.88</v>
      </c>
      <c r="D44" s="252">
        <v>0.88</v>
      </c>
      <c r="E44" s="252">
        <v>0.88</v>
      </c>
      <c r="F44" s="252">
        <v>0.88</v>
      </c>
      <c r="G44" s="252">
        <v>0.88</v>
      </c>
      <c r="H44" s="252">
        <v>0.88</v>
      </c>
      <c r="I44" s="252">
        <v>0.88</v>
      </c>
      <c r="J44" s="252">
        <v>0.88</v>
      </c>
      <c r="K44" s="252">
        <v>0.88</v>
      </c>
      <c r="L44" s="252">
        <v>0.88</v>
      </c>
      <c r="M44" s="252">
        <v>0.88</v>
      </c>
      <c r="N44" s="252">
        <v>0.88</v>
      </c>
      <c r="O44" s="755"/>
      <c r="P44" s="157">
        <v>0.01</v>
      </c>
      <c r="Q44" s="244">
        <f>+Q43-2%</f>
        <v>0.98</v>
      </c>
      <c r="S44" s="451" t="s">
        <v>515</v>
      </c>
      <c r="U44" s="251"/>
    </row>
    <row r="45" spans="1:21">
      <c r="B45" s="4"/>
      <c r="O45" s="755"/>
      <c r="P45" s="157">
        <v>0.02</v>
      </c>
      <c r="Q45" s="244">
        <f>+Q44-2%</f>
        <v>0.96</v>
      </c>
      <c r="S45" s="451">
        <v>2E-3</v>
      </c>
      <c r="U45" s="251"/>
    </row>
    <row r="46" spans="1:21">
      <c r="O46" s="755"/>
      <c r="P46" s="157">
        <v>0.03</v>
      </c>
      <c r="Q46" s="244">
        <f>+Q45-2%</f>
        <v>0.94</v>
      </c>
      <c r="S46" s="451">
        <v>2E-3</v>
      </c>
      <c r="U46" s="251"/>
    </row>
    <row r="47" spans="1:21">
      <c r="O47" s="755"/>
      <c r="P47" s="157">
        <v>0.04</v>
      </c>
      <c r="Q47" s="244">
        <f>+Q46-2%</f>
        <v>0.91999999999999993</v>
      </c>
      <c r="S47" s="451">
        <v>2E-3</v>
      </c>
      <c r="U47" s="251"/>
    </row>
    <row r="48" spans="1:21">
      <c r="O48" s="755"/>
      <c r="P48" s="157">
        <v>0.05</v>
      </c>
      <c r="Q48" s="244">
        <f>+Q47-2%</f>
        <v>0.89999999999999991</v>
      </c>
      <c r="S48" s="451">
        <v>2E-3</v>
      </c>
      <c r="U48" s="251"/>
    </row>
    <row r="49" spans="16:21">
      <c r="P49" s="157">
        <v>0.06</v>
      </c>
      <c r="Q49" s="244">
        <f t="shared" ref="Q49:Q75" si="2">+Q48-2%</f>
        <v>0.87999999999999989</v>
      </c>
      <c r="S49" s="451">
        <v>2E-3</v>
      </c>
      <c r="U49" s="251"/>
    </row>
    <row r="50" spans="16:21">
      <c r="P50" s="157">
        <v>7.0000000000000007E-2</v>
      </c>
      <c r="Q50" s="244">
        <f t="shared" si="2"/>
        <v>0.85999999999999988</v>
      </c>
      <c r="S50" s="451">
        <v>2E-3</v>
      </c>
      <c r="U50" s="251"/>
    </row>
    <row r="51" spans="16:21">
      <c r="P51" s="157">
        <v>0.08</v>
      </c>
      <c r="Q51" s="244">
        <f t="shared" si="2"/>
        <v>0.83999999999999986</v>
      </c>
      <c r="S51" s="451">
        <v>2E-3</v>
      </c>
      <c r="U51" s="251"/>
    </row>
    <row r="52" spans="16:21">
      <c r="P52" s="157">
        <v>0.09</v>
      </c>
      <c r="Q52" s="244">
        <f t="shared" si="2"/>
        <v>0.81999999999999984</v>
      </c>
      <c r="S52" s="451">
        <v>2E-3</v>
      </c>
    </row>
    <row r="53" spans="16:21">
      <c r="P53" s="157">
        <v>0.1</v>
      </c>
      <c r="Q53" s="244">
        <f t="shared" si="2"/>
        <v>0.79999999999999982</v>
      </c>
      <c r="S53" s="451">
        <v>2E-3</v>
      </c>
    </row>
    <row r="54" spans="16:21">
      <c r="P54" s="157">
        <v>0.11</v>
      </c>
      <c r="Q54" s="244">
        <f t="shared" si="2"/>
        <v>0.7799999999999998</v>
      </c>
      <c r="S54" s="451">
        <v>2E-3</v>
      </c>
    </row>
    <row r="55" spans="16:21">
      <c r="P55" s="157">
        <v>0.12</v>
      </c>
      <c r="Q55" s="244">
        <f t="shared" si="2"/>
        <v>0.75999999999999979</v>
      </c>
    </row>
    <row r="56" spans="16:21">
      <c r="P56" s="157">
        <v>0.13</v>
      </c>
      <c r="Q56" s="244">
        <f t="shared" si="2"/>
        <v>0.73999999999999977</v>
      </c>
    </row>
    <row r="57" spans="16:21">
      <c r="P57" s="157">
        <v>0.14000000000000001</v>
      </c>
      <c r="Q57" s="244">
        <f t="shared" si="2"/>
        <v>0.71999999999999975</v>
      </c>
    </row>
    <row r="58" spans="16:21">
      <c r="P58" s="157">
        <v>0.15</v>
      </c>
      <c r="Q58" s="244">
        <f t="shared" si="2"/>
        <v>0.69999999999999973</v>
      </c>
    </row>
    <row r="59" spans="16:21">
      <c r="P59" s="157">
        <v>0.16</v>
      </c>
      <c r="Q59" s="244">
        <f t="shared" si="2"/>
        <v>0.67999999999999972</v>
      </c>
    </row>
    <row r="60" spans="16:21">
      <c r="P60" s="157">
        <v>0.17</v>
      </c>
      <c r="Q60" s="244">
        <f t="shared" si="2"/>
        <v>0.6599999999999997</v>
      </c>
    </row>
    <row r="61" spans="16:21">
      <c r="P61" s="157">
        <v>0.18</v>
      </c>
      <c r="Q61" s="244">
        <f t="shared" si="2"/>
        <v>0.63999999999999968</v>
      </c>
    </row>
    <row r="62" spans="16:21">
      <c r="P62" s="157">
        <v>0.19</v>
      </c>
      <c r="Q62" s="244">
        <f t="shared" si="2"/>
        <v>0.61999999999999966</v>
      </c>
    </row>
    <row r="63" spans="16:21">
      <c r="P63" s="157">
        <v>0.2</v>
      </c>
      <c r="Q63" s="244">
        <f t="shared" si="2"/>
        <v>0.59999999999999964</v>
      </c>
    </row>
    <row r="64" spans="16:21">
      <c r="P64" s="157">
        <v>0.21</v>
      </c>
      <c r="Q64" s="244">
        <f t="shared" si="2"/>
        <v>0.57999999999999963</v>
      </c>
    </row>
    <row r="65" spans="16:17">
      <c r="P65" s="157">
        <v>0.22</v>
      </c>
      <c r="Q65" s="244">
        <f t="shared" si="2"/>
        <v>0.55999999999999961</v>
      </c>
    </row>
    <row r="66" spans="16:17">
      <c r="P66" s="157">
        <v>0.23</v>
      </c>
      <c r="Q66" s="244">
        <f t="shared" si="2"/>
        <v>0.53999999999999959</v>
      </c>
    </row>
    <row r="67" spans="16:17">
      <c r="P67" s="157">
        <v>0.24</v>
      </c>
      <c r="Q67" s="244">
        <f t="shared" si="2"/>
        <v>0.51999999999999957</v>
      </c>
    </row>
    <row r="68" spans="16:17">
      <c r="P68" s="157">
        <v>0.25</v>
      </c>
      <c r="Q68" s="244">
        <f t="shared" si="2"/>
        <v>0.49999999999999956</v>
      </c>
    </row>
    <row r="69" spans="16:17">
      <c r="P69" s="157">
        <v>0.26</v>
      </c>
      <c r="Q69" s="244">
        <f t="shared" si="2"/>
        <v>0.47999999999999954</v>
      </c>
    </row>
    <row r="70" spans="16:17">
      <c r="P70" s="157">
        <v>0.27</v>
      </c>
      <c r="Q70" s="244">
        <f t="shared" si="2"/>
        <v>0.45999999999999952</v>
      </c>
    </row>
    <row r="71" spans="16:17">
      <c r="P71" s="157">
        <v>0.28000000000000003</v>
      </c>
      <c r="Q71" s="244">
        <f t="shared" si="2"/>
        <v>0.4399999999999995</v>
      </c>
    </row>
    <row r="72" spans="16:17">
      <c r="P72" s="157">
        <v>0.28999999999999998</v>
      </c>
      <c r="Q72" s="244">
        <f t="shared" si="2"/>
        <v>0.41999999999999948</v>
      </c>
    </row>
    <row r="73" spans="16:17">
      <c r="P73" s="157">
        <v>0.3</v>
      </c>
      <c r="Q73" s="244">
        <f t="shared" si="2"/>
        <v>0.39999999999999947</v>
      </c>
    </row>
    <row r="74" spans="16:17">
      <c r="P74" s="157">
        <v>0.31</v>
      </c>
      <c r="Q74" s="244">
        <f t="shared" si="2"/>
        <v>0.37999999999999945</v>
      </c>
    </row>
    <row r="75" spans="16:17">
      <c r="P75" s="157">
        <v>0.32</v>
      </c>
      <c r="Q75" s="244">
        <f t="shared" si="2"/>
        <v>0.35999999999999943</v>
      </c>
    </row>
  </sheetData>
  <mergeCells count="46">
    <mergeCell ref="A1:J4"/>
    <mergeCell ref="K1:L1"/>
    <mergeCell ref="M1:N1"/>
    <mergeCell ref="K2:L2"/>
    <mergeCell ref="M2:N2"/>
    <mergeCell ref="K3:L3"/>
    <mergeCell ref="M3:N3"/>
    <mergeCell ref="K4:L4"/>
    <mergeCell ref="M4:N4"/>
    <mergeCell ref="B27:F27"/>
    <mergeCell ref="G27:N27"/>
    <mergeCell ref="C6:N6"/>
    <mergeCell ref="C7:N7"/>
    <mergeCell ref="C8:N8"/>
    <mergeCell ref="C9:N9"/>
    <mergeCell ref="C13:N13"/>
    <mergeCell ref="A14:B14"/>
    <mergeCell ref="C14:N14"/>
    <mergeCell ref="C15:N15"/>
    <mergeCell ref="C16:N16"/>
    <mergeCell ref="A17:B17"/>
    <mergeCell ref="C17:N17"/>
    <mergeCell ref="A21:B21"/>
    <mergeCell ref="B28:F28"/>
    <mergeCell ref="G28:N28"/>
    <mergeCell ref="B29:F29"/>
    <mergeCell ref="G29:N29"/>
    <mergeCell ref="B30:F30"/>
    <mergeCell ref="G30:N30"/>
    <mergeCell ref="B31:F31"/>
    <mergeCell ref="G31:N31"/>
    <mergeCell ref="B32:F32"/>
    <mergeCell ref="G32:N32"/>
    <mergeCell ref="B33:F33"/>
    <mergeCell ref="G33:N33"/>
    <mergeCell ref="B34:F34"/>
    <mergeCell ref="G34:N34"/>
    <mergeCell ref="B35:F35"/>
    <mergeCell ref="G35:N35"/>
    <mergeCell ref="B36:F36"/>
    <mergeCell ref="G36:N36"/>
    <mergeCell ref="B37:F37"/>
    <mergeCell ref="G37:N37"/>
    <mergeCell ref="B38:F38"/>
    <mergeCell ref="G38:N38"/>
    <mergeCell ref="O43:O48"/>
  </mergeCells>
  <hyperlinks>
    <hyperlink ref="O5" location="'Matriz Sta Ana'!A1" display="Volver" xr:uid="{E6FB8D6C-90CD-41EE-87EC-510C2A2F940D}"/>
  </hyperlinks>
  <pageMargins left="0.7" right="0.7" top="0.75" bottom="0.75" header="0.3" footer="0.3"/>
  <pageSetup scale="68"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ED19BC-82EC-4D7E-99DA-C665800B8F91}">
  <sheetPr>
    <tabColor rgb="FFFFFF00"/>
    <pageSetUpPr fitToPage="1"/>
  </sheetPr>
  <dimension ref="A1:U63"/>
  <sheetViews>
    <sheetView view="pageBreakPreview" zoomScaleNormal="100" zoomScaleSheetLayoutView="100" workbookViewId="0">
      <selection sqref="A1:J4"/>
    </sheetView>
  </sheetViews>
  <sheetFormatPr baseColWidth="10" defaultColWidth="11.42578125" defaultRowHeight="16.5"/>
  <cols>
    <col min="1" max="1" width="7.42578125" style="5" customWidth="1"/>
    <col min="2" max="2" width="33.5703125" style="5" customWidth="1"/>
    <col min="3" max="4" width="8.42578125" style="4" customWidth="1"/>
    <col min="5" max="5" width="7.85546875" style="4" customWidth="1"/>
    <col min="6" max="6" width="8" style="4" customWidth="1"/>
    <col min="7" max="7" width="7.5703125" style="4" customWidth="1"/>
    <col min="8" max="8" width="7.85546875" style="4" customWidth="1"/>
    <col min="9" max="9" width="8.140625" style="4" customWidth="1"/>
    <col min="10" max="14" width="7.140625" style="4" customWidth="1"/>
    <col min="15" max="15" width="11.42578125" style="4"/>
    <col min="16" max="16" width="5.42578125" style="4" customWidth="1"/>
    <col min="17" max="17" width="6.85546875" style="4" customWidth="1"/>
    <col min="18" max="18" width="11.42578125" style="4"/>
    <col min="19" max="19" width="14.140625" style="4" customWidth="1"/>
    <col min="20" max="20" width="2.42578125" style="4" customWidth="1"/>
    <col min="21"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t="s">
        <v>119</v>
      </c>
      <c r="O5" s="52" t="s">
        <v>120</v>
      </c>
    </row>
    <row r="6" spans="1:15" ht="19.5" customHeight="1">
      <c r="A6" s="5" t="s">
        <v>121</v>
      </c>
      <c r="C6" s="734" t="s">
        <v>699</v>
      </c>
      <c r="D6" s="734"/>
      <c r="E6" s="734"/>
      <c r="F6" s="734"/>
      <c r="G6" s="734"/>
      <c r="H6" s="734"/>
      <c r="I6" s="734"/>
      <c r="J6" s="734"/>
      <c r="K6" s="734"/>
      <c r="L6" s="734"/>
      <c r="M6" s="734"/>
      <c r="N6" s="734"/>
    </row>
    <row r="7" spans="1:15" ht="17.25" customHeight="1">
      <c r="A7" s="5" t="s">
        <v>3</v>
      </c>
      <c r="C7" s="700" t="s">
        <v>31</v>
      </c>
      <c r="D7" s="700"/>
      <c r="E7" s="700"/>
      <c r="F7" s="700"/>
      <c r="G7" s="700"/>
      <c r="H7" s="700"/>
      <c r="I7" s="700"/>
      <c r="J7" s="700"/>
      <c r="K7" s="700"/>
      <c r="L7" s="700"/>
      <c r="M7" s="700"/>
      <c r="N7" s="700"/>
    </row>
    <row r="8" spans="1:15">
      <c r="A8" s="5" t="s">
        <v>122</v>
      </c>
      <c r="C8" s="700" t="s">
        <v>296</v>
      </c>
      <c r="D8" s="700"/>
      <c r="E8" s="700"/>
      <c r="F8" s="700"/>
      <c r="G8" s="700"/>
      <c r="H8" s="700"/>
      <c r="I8" s="700"/>
      <c r="J8" s="700"/>
      <c r="K8" s="700"/>
      <c r="L8" s="700"/>
      <c r="M8" s="700"/>
      <c r="N8" s="700"/>
    </row>
    <row r="9" spans="1:15" ht="18" customHeight="1">
      <c r="A9" s="5" t="s">
        <v>453</v>
      </c>
      <c r="C9" s="700" t="s">
        <v>32</v>
      </c>
      <c r="D9" s="700"/>
      <c r="E9" s="700"/>
      <c r="F9" s="700"/>
      <c r="G9" s="700"/>
      <c r="H9" s="700"/>
      <c r="I9" s="700"/>
      <c r="J9" s="700"/>
      <c r="K9" s="700"/>
      <c r="L9" s="700"/>
      <c r="M9" s="700"/>
      <c r="N9" s="700"/>
    </row>
    <row r="10" spans="1:15" ht="18" customHeight="1">
      <c r="A10" s="5" t="s">
        <v>4</v>
      </c>
      <c r="C10" s="254">
        <v>0.9</v>
      </c>
      <c r="D10" s="253"/>
      <c r="E10" s="253"/>
      <c r="F10" s="253"/>
      <c r="G10" s="253"/>
      <c r="H10" s="253"/>
      <c r="I10" s="253"/>
      <c r="J10" s="253"/>
      <c r="K10" s="253"/>
      <c r="L10" s="253"/>
      <c r="M10" s="253"/>
      <c r="N10" s="253"/>
    </row>
    <row r="11" spans="1:15">
      <c r="A11" s="5" t="s">
        <v>5</v>
      </c>
      <c r="C11" s="64" t="s">
        <v>15</v>
      </c>
      <c r="D11" s="64"/>
      <c r="E11" s="64"/>
      <c r="F11" s="64"/>
      <c r="G11" s="64"/>
      <c r="H11" s="64"/>
      <c r="I11" s="64"/>
      <c r="J11" s="64"/>
      <c r="K11" s="64"/>
      <c r="L11" s="64"/>
      <c r="M11" s="64"/>
      <c r="N11" s="64"/>
    </row>
    <row r="12" spans="1:15">
      <c r="A12" s="5" t="s">
        <v>6</v>
      </c>
      <c r="C12" s="64" t="s">
        <v>16</v>
      </c>
      <c r="D12" s="64"/>
      <c r="E12" s="64"/>
      <c r="F12" s="64"/>
      <c r="G12" s="64"/>
      <c r="H12" s="64"/>
      <c r="I12" s="64"/>
      <c r="J12" s="64"/>
      <c r="K12" s="64"/>
      <c r="L12" s="64"/>
      <c r="M12" s="64"/>
      <c r="N12" s="64"/>
    </row>
    <row r="13" spans="1:15" ht="18" customHeight="1">
      <c r="A13" s="5" t="s">
        <v>7</v>
      </c>
      <c r="C13" s="759" t="s">
        <v>33</v>
      </c>
      <c r="D13" s="759"/>
      <c r="E13" s="759"/>
      <c r="F13" s="759"/>
      <c r="G13" s="759"/>
      <c r="H13" s="759"/>
      <c r="I13" s="759"/>
      <c r="J13" s="759"/>
      <c r="K13" s="759"/>
      <c r="L13" s="759"/>
      <c r="M13" s="759"/>
      <c r="N13" s="759"/>
    </row>
    <row r="14" spans="1:15" ht="30" customHeight="1">
      <c r="A14" s="737" t="s">
        <v>125</v>
      </c>
      <c r="B14" s="737"/>
      <c r="C14" s="700" t="s">
        <v>16</v>
      </c>
      <c r="D14" s="700"/>
      <c r="E14" s="700"/>
      <c r="F14" s="700"/>
      <c r="G14" s="700"/>
      <c r="H14" s="700"/>
      <c r="I14" s="700"/>
      <c r="J14" s="700"/>
      <c r="K14" s="700"/>
      <c r="L14" s="700"/>
      <c r="M14" s="700"/>
      <c r="N14" s="700"/>
    </row>
    <row r="15" spans="1:15" ht="38.25" customHeight="1">
      <c r="A15" s="5" t="s">
        <v>127</v>
      </c>
      <c r="C15" s="700" t="s">
        <v>35</v>
      </c>
      <c r="D15" s="700"/>
      <c r="E15" s="700"/>
      <c r="F15" s="700"/>
      <c r="G15" s="700"/>
      <c r="H15" s="700"/>
      <c r="I15" s="700"/>
      <c r="J15" s="700"/>
      <c r="K15" s="700"/>
      <c r="L15" s="700"/>
      <c r="M15" s="700"/>
      <c r="N15" s="700"/>
    </row>
    <row r="16" spans="1:15" ht="24.75" customHeight="1">
      <c r="A16" s="5" t="s">
        <v>10</v>
      </c>
      <c r="C16" s="701" t="s">
        <v>247</v>
      </c>
      <c r="D16" s="701"/>
      <c r="E16" s="701"/>
      <c r="F16" s="701"/>
      <c r="G16" s="701"/>
      <c r="H16" s="701"/>
      <c r="I16" s="701"/>
      <c r="J16" s="701"/>
      <c r="K16" s="701"/>
      <c r="L16" s="701"/>
      <c r="M16" s="701"/>
      <c r="N16" s="701"/>
    </row>
    <row r="17" spans="1:14" ht="24.75" customHeight="1">
      <c r="A17" s="707" t="s">
        <v>443</v>
      </c>
      <c r="B17" s="707"/>
      <c r="C17" s="708" t="s">
        <v>714</v>
      </c>
      <c r="D17" s="709"/>
      <c r="E17" s="709"/>
      <c r="F17" s="709"/>
      <c r="G17" s="709"/>
      <c r="H17" s="709"/>
      <c r="I17" s="709"/>
      <c r="J17" s="709"/>
      <c r="K17" s="709"/>
      <c r="L17" s="709"/>
      <c r="M17" s="709"/>
      <c r="N17" s="709"/>
    </row>
    <row r="18" spans="1:14" ht="24.75" customHeight="1">
      <c r="C18" s="5"/>
      <c r="D18" s="5"/>
      <c r="E18" s="5"/>
      <c r="F18" s="5"/>
      <c r="G18" s="5"/>
      <c r="H18" s="5"/>
      <c r="I18" s="5"/>
      <c r="J18" s="5"/>
      <c r="K18" s="5"/>
      <c r="L18" s="5"/>
      <c r="M18" s="5"/>
      <c r="N18" s="5"/>
    </row>
    <row r="19" spans="1:14">
      <c r="A19" s="4"/>
      <c r="B19" s="10" t="s">
        <v>129</v>
      </c>
      <c r="C19" s="11" t="s">
        <v>130</v>
      </c>
      <c r="D19" s="11" t="s">
        <v>131</v>
      </c>
      <c r="E19" s="11" t="s">
        <v>132</v>
      </c>
      <c r="F19" s="11" t="s">
        <v>133</v>
      </c>
      <c r="G19" s="11" t="s">
        <v>134</v>
      </c>
      <c r="H19" s="11" t="s">
        <v>135</v>
      </c>
      <c r="I19" s="11" t="s">
        <v>136</v>
      </c>
      <c r="J19" s="11" t="s">
        <v>137</v>
      </c>
      <c r="K19" s="11" t="s">
        <v>138</v>
      </c>
      <c r="L19" s="11" t="s">
        <v>139</v>
      </c>
      <c r="M19" s="11" t="s">
        <v>140</v>
      </c>
      <c r="N19" s="11" t="s">
        <v>141</v>
      </c>
    </row>
    <row r="20" spans="1:14">
      <c r="A20" s="4"/>
      <c r="B20" s="10"/>
      <c r="C20" s="11">
        <v>1</v>
      </c>
      <c r="D20" s="11">
        <v>2</v>
      </c>
      <c r="E20" s="11">
        <v>3</v>
      </c>
      <c r="F20" s="11">
        <v>4</v>
      </c>
      <c r="G20" s="11">
        <v>5</v>
      </c>
      <c r="H20" s="11">
        <v>6</v>
      </c>
      <c r="I20" s="11">
        <v>7</v>
      </c>
      <c r="J20" s="11">
        <v>8</v>
      </c>
      <c r="K20" s="11">
        <v>9</v>
      </c>
      <c r="L20" s="11">
        <v>10</v>
      </c>
      <c r="M20" s="11">
        <v>11</v>
      </c>
      <c r="N20" s="11">
        <v>12</v>
      </c>
    </row>
    <row r="21" spans="1:14" ht="35.25" customHeight="1">
      <c r="A21" s="702" t="s">
        <v>142</v>
      </c>
      <c r="B21" s="758"/>
      <c r="C21" s="191">
        <f>+C43</f>
        <v>1</v>
      </c>
      <c r="D21" s="191">
        <f t="shared" ref="D21:N21" si="0">+D43</f>
        <v>1</v>
      </c>
      <c r="E21" s="191">
        <f t="shared" si="0"/>
        <v>1</v>
      </c>
      <c r="F21" s="191">
        <f t="shared" si="0"/>
        <v>1</v>
      </c>
      <c r="G21" s="191">
        <f t="shared" si="0"/>
        <v>1</v>
      </c>
      <c r="H21" s="191">
        <f t="shared" si="0"/>
        <v>1</v>
      </c>
      <c r="I21" s="191">
        <f t="shared" si="0"/>
        <v>1</v>
      </c>
      <c r="J21" s="191">
        <f t="shared" si="0"/>
        <v>1</v>
      </c>
      <c r="K21" s="191">
        <f t="shared" si="0"/>
        <v>1</v>
      </c>
      <c r="L21" s="191">
        <f t="shared" si="0"/>
        <v>0</v>
      </c>
      <c r="M21" s="191">
        <f t="shared" si="0"/>
        <v>0</v>
      </c>
      <c r="N21" s="191">
        <f t="shared" si="0"/>
        <v>0</v>
      </c>
    </row>
    <row r="22" spans="1:14" ht="42" customHeight="1">
      <c r="A22" s="13" t="s">
        <v>143</v>
      </c>
      <c r="B22" s="13"/>
      <c r="C22" s="14">
        <f>+C44</f>
        <v>0.89999999999999991</v>
      </c>
      <c r="D22" s="14">
        <f t="shared" ref="D22:N22" si="1">+D44</f>
        <v>0.89999999999999991</v>
      </c>
      <c r="E22" s="14">
        <f t="shared" si="1"/>
        <v>0.89999999999999991</v>
      </c>
      <c r="F22" s="14">
        <f t="shared" si="1"/>
        <v>0.89999999999999991</v>
      </c>
      <c r="G22" s="14">
        <f t="shared" si="1"/>
        <v>0.89999999999999991</v>
      </c>
      <c r="H22" s="14">
        <f t="shared" si="1"/>
        <v>0.89999999999999991</v>
      </c>
      <c r="I22" s="14">
        <f t="shared" si="1"/>
        <v>0.89999999999999991</v>
      </c>
      <c r="J22" s="14">
        <f t="shared" si="1"/>
        <v>0.89999999999999991</v>
      </c>
      <c r="K22" s="14">
        <f t="shared" si="1"/>
        <v>0.89999999999999991</v>
      </c>
      <c r="L22" s="14">
        <f t="shared" si="1"/>
        <v>0.89999999999999991</v>
      </c>
      <c r="M22" s="14">
        <f t="shared" si="1"/>
        <v>0.89999999999999991</v>
      </c>
      <c r="N22" s="14">
        <f t="shared" si="1"/>
        <v>0.89999999999999991</v>
      </c>
    </row>
    <row r="23" spans="1:14" s="19" customFormat="1" ht="205.5" customHeight="1">
      <c r="A23" s="15" t="s">
        <v>144</v>
      </c>
      <c r="B23" s="16"/>
      <c r="C23" s="17"/>
      <c r="D23" s="17"/>
      <c r="E23" s="17"/>
      <c r="F23" s="17"/>
      <c r="G23" s="17"/>
      <c r="H23" s="17"/>
      <c r="I23" s="17"/>
      <c r="J23" s="17"/>
      <c r="K23" s="17"/>
      <c r="L23" s="17"/>
      <c r="M23" s="17"/>
      <c r="N23" s="18"/>
    </row>
    <row r="24" spans="1:14" ht="7.5" customHeight="1"/>
    <row r="25" spans="1:14" ht="25.5" customHeight="1">
      <c r="A25" s="20" t="s">
        <v>145</v>
      </c>
      <c r="B25" s="21"/>
      <c r="C25" s="22"/>
      <c r="D25" s="22"/>
      <c r="E25" s="22"/>
      <c r="F25" s="22"/>
      <c r="G25" s="23" t="s">
        <v>146</v>
      </c>
      <c r="H25" s="22"/>
      <c r="I25" s="22"/>
      <c r="J25" s="22"/>
      <c r="K25" s="22"/>
      <c r="L25" s="22"/>
      <c r="M25" s="22"/>
      <c r="N25" s="24"/>
    </row>
    <row r="26" spans="1:14" ht="25.5" customHeight="1">
      <c r="A26" s="25" t="s">
        <v>129</v>
      </c>
      <c r="G26" s="26"/>
      <c r="N26" s="27"/>
    </row>
    <row r="27" spans="1:14" s="19" customFormat="1" ht="15" customHeight="1">
      <c r="A27" s="324" t="str">
        <f>+IF(C20&gt;0,C19,"")</f>
        <v>ene</v>
      </c>
      <c r="B27" s="756" t="s">
        <v>654</v>
      </c>
      <c r="C27" s="756"/>
      <c r="D27" s="756"/>
      <c r="E27" s="756"/>
      <c r="F27" s="756"/>
      <c r="G27" s="754" t="s">
        <v>655</v>
      </c>
      <c r="H27" s="754"/>
      <c r="I27" s="754"/>
      <c r="J27" s="754"/>
      <c r="K27" s="754"/>
      <c r="L27" s="754"/>
      <c r="M27" s="754"/>
      <c r="N27" s="754"/>
    </row>
    <row r="28" spans="1:14" s="19" customFormat="1" ht="15" customHeight="1">
      <c r="A28" s="325" t="str">
        <f>+IF(D20&gt;0,D19,"")</f>
        <v>feb</v>
      </c>
      <c r="B28" s="756" t="s">
        <v>654</v>
      </c>
      <c r="C28" s="756"/>
      <c r="D28" s="756"/>
      <c r="E28" s="756"/>
      <c r="F28" s="756"/>
      <c r="G28" s="754" t="s">
        <v>655</v>
      </c>
      <c r="H28" s="754"/>
      <c r="I28" s="754"/>
      <c r="J28" s="754"/>
      <c r="K28" s="754"/>
      <c r="L28" s="754"/>
      <c r="M28" s="754"/>
      <c r="N28" s="754"/>
    </row>
    <row r="29" spans="1:14" s="19" customFormat="1" ht="15" customHeight="1">
      <c r="A29" s="325" t="str">
        <f>+IF(E20&gt;0,E19,"")</f>
        <v>mar</v>
      </c>
      <c r="B29" s="756" t="s">
        <v>654</v>
      </c>
      <c r="C29" s="756"/>
      <c r="D29" s="756"/>
      <c r="E29" s="756"/>
      <c r="F29" s="756"/>
      <c r="G29" s="754" t="s">
        <v>655</v>
      </c>
      <c r="H29" s="754"/>
      <c r="I29" s="754"/>
      <c r="J29" s="754"/>
      <c r="K29" s="754"/>
      <c r="L29" s="754"/>
      <c r="M29" s="754"/>
      <c r="N29" s="754"/>
    </row>
    <row r="30" spans="1:14" s="19" customFormat="1" ht="15" customHeight="1">
      <c r="A30" s="32" t="str">
        <f>+IF(F20&gt;0,F19,"")</f>
        <v>abr</v>
      </c>
      <c r="B30" s="756" t="s">
        <v>654</v>
      </c>
      <c r="C30" s="756"/>
      <c r="D30" s="756"/>
      <c r="E30" s="756"/>
      <c r="F30" s="756"/>
      <c r="G30" s="754" t="s">
        <v>655</v>
      </c>
      <c r="H30" s="754"/>
      <c r="I30" s="754"/>
      <c r="J30" s="754"/>
      <c r="K30" s="754"/>
      <c r="L30" s="754"/>
      <c r="M30" s="754"/>
      <c r="N30" s="754"/>
    </row>
    <row r="31" spans="1:14" s="19" customFormat="1" ht="15" customHeight="1">
      <c r="A31" s="32" t="str">
        <f>+IF(G20&gt;0,G19,"")</f>
        <v>may</v>
      </c>
      <c r="B31" s="756" t="s">
        <v>654</v>
      </c>
      <c r="C31" s="756"/>
      <c r="D31" s="756"/>
      <c r="E31" s="756"/>
      <c r="F31" s="756"/>
      <c r="G31" s="754" t="s">
        <v>655</v>
      </c>
      <c r="H31" s="754"/>
      <c r="I31" s="754"/>
      <c r="J31" s="754"/>
      <c r="K31" s="754"/>
      <c r="L31" s="754"/>
      <c r="M31" s="754"/>
      <c r="N31" s="754"/>
    </row>
    <row r="32" spans="1:14" s="19" customFormat="1" ht="15" customHeight="1">
      <c r="A32" s="32" t="str">
        <f>+IF(H20&gt;0,H19,"")</f>
        <v>jun</v>
      </c>
      <c r="B32" s="756" t="s">
        <v>654</v>
      </c>
      <c r="C32" s="756"/>
      <c r="D32" s="756"/>
      <c r="E32" s="756"/>
      <c r="F32" s="756"/>
      <c r="G32" s="754" t="s">
        <v>655</v>
      </c>
      <c r="H32" s="754"/>
      <c r="I32" s="754"/>
      <c r="J32" s="754"/>
      <c r="K32" s="754"/>
      <c r="L32" s="754"/>
      <c r="M32" s="754"/>
      <c r="N32" s="754"/>
    </row>
    <row r="33" spans="1:21" s="19" customFormat="1" ht="15" customHeight="1">
      <c r="A33" s="32" t="str">
        <f>+IF(I20&gt;0,I19,"")</f>
        <v>jul</v>
      </c>
      <c r="B33" s="756" t="s">
        <v>654</v>
      </c>
      <c r="C33" s="756"/>
      <c r="D33" s="756"/>
      <c r="E33" s="756"/>
      <c r="F33" s="756"/>
      <c r="G33" s="754" t="s">
        <v>655</v>
      </c>
      <c r="H33" s="754"/>
      <c r="I33" s="754"/>
      <c r="J33" s="754"/>
      <c r="K33" s="754"/>
      <c r="L33" s="754"/>
      <c r="M33" s="754"/>
      <c r="N33" s="754"/>
    </row>
    <row r="34" spans="1:21" s="19" customFormat="1" ht="15" customHeight="1">
      <c r="A34" s="32" t="str">
        <f>+IF(J20&gt;0,J19,"")</f>
        <v>ago</v>
      </c>
      <c r="B34" s="756" t="s">
        <v>654</v>
      </c>
      <c r="C34" s="756"/>
      <c r="D34" s="756"/>
      <c r="E34" s="756"/>
      <c r="F34" s="756"/>
      <c r="G34" s="754" t="s">
        <v>655</v>
      </c>
      <c r="H34" s="754"/>
      <c r="I34" s="754"/>
      <c r="J34" s="754"/>
      <c r="K34" s="754"/>
      <c r="L34" s="754"/>
      <c r="M34" s="754"/>
      <c r="N34" s="754"/>
    </row>
    <row r="35" spans="1:21" s="19" customFormat="1" ht="15" customHeight="1">
      <c r="A35" s="32" t="str">
        <f>+IF(K20&gt;0,K19,"")</f>
        <v>sep</v>
      </c>
      <c r="B35" s="756" t="s">
        <v>654</v>
      </c>
      <c r="C35" s="756"/>
      <c r="D35" s="756"/>
      <c r="E35" s="756"/>
      <c r="F35" s="756"/>
      <c r="G35" s="754" t="s">
        <v>655</v>
      </c>
      <c r="H35" s="754"/>
      <c r="I35" s="754"/>
      <c r="J35" s="754"/>
      <c r="K35" s="754"/>
      <c r="L35" s="754"/>
      <c r="M35" s="754"/>
      <c r="N35" s="754"/>
    </row>
    <row r="36" spans="1:21" s="19" customFormat="1" ht="15" customHeight="1">
      <c r="A36" s="32" t="str">
        <f>+IF(L20&gt;0,L19,"")</f>
        <v>oct</v>
      </c>
      <c r="B36" s="756"/>
      <c r="C36" s="756"/>
      <c r="D36" s="756"/>
      <c r="E36" s="756"/>
      <c r="F36" s="756"/>
      <c r="G36" s="754"/>
      <c r="H36" s="754"/>
      <c r="I36" s="754"/>
      <c r="J36" s="754"/>
      <c r="K36" s="754"/>
      <c r="L36" s="754"/>
      <c r="M36" s="754"/>
      <c r="N36" s="754"/>
    </row>
    <row r="37" spans="1:21" s="19" customFormat="1" ht="15" customHeight="1">
      <c r="A37" s="32" t="str">
        <f>+IF(M20&gt;0,M19,"")</f>
        <v>nov</v>
      </c>
      <c r="B37" s="748"/>
      <c r="C37" s="749"/>
      <c r="D37" s="749"/>
      <c r="E37" s="749"/>
      <c r="F37" s="750"/>
      <c r="G37" s="754"/>
      <c r="H37" s="754"/>
      <c r="I37" s="754"/>
      <c r="J37" s="754"/>
      <c r="K37" s="754"/>
      <c r="L37" s="754"/>
      <c r="M37" s="754"/>
      <c r="N37" s="754"/>
    </row>
    <row r="38" spans="1:21" s="19" customFormat="1" ht="15" customHeight="1">
      <c r="A38" s="39" t="str">
        <f>+IF(N20&gt;0,N19,"")</f>
        <v>dic</v>
      </c>
      <c r="B38" s="748"/>
      <c r="C38" s="749"/>
      <c r="D38" s="749"/>
      <c r="E38" s="749"/>
      <c r="F38" s="750"/>
      <c r="G38" s="754"/>
      <c r="H38" s="754"/>
      <c r="I38" s="754"/>
      <c r="J38" s="754"/>
      <c r="K38" s="754"/>
      <c r="L38" s="754"/>
      <c r="M38" s="754"/>
      <c r="N38" s="754"/>
    </row>
    <row r="41" spans="1:21">
      <c r="C41" s="248" t="s">
        <v>130</v>
      </c>
      <c r="D41" s="248" t="s">
        <v>131</v>
      </c>
      <c r="E41" s="248" t="s">
        <v>132</v>
      </c>
      <c r="F41" s="248" t="s">
        <v>133</v>
      </c>
      <c r="G41" s="248" t="s">
        <v>134</v>
      </c>
      <c r="H41" s="248" t="s">
        <v>135</v>
      </c>
      <c r="I41" s="248" t="s">
        <v>136</v>
      </c>
      <c r="J41" s="248" t="s">
        <v>137</v>
      </c>
      <c r="K41" s="248" t="s">
        <v>138</v>
      </c>
      <c r="L41" s="248" t="s">
        <v>139</v>
      </c>
      <c r="M41" s="248" t="s">
        <v>140</v>
      </c>
      <c r="N41" s="248" t="s">
        <v>141</v>
      </c>
    </row>
    <row r="42" spans="1:21">
      <c r="B42" s="143" t="s">
        <v>441</v>
      </c>
      <c r="C42" s="453">
        <v>0</v>
      </c>
      <c r="D42" s="453">
        <v>0</v>
      </c>
      <c r="E42" s="453">
        <v>0</v>
      </c>
      <c r="F42" s="453">
        <v>0</v>
      </c>
      <c r="G42" s="453">
        <v>0</v>
      </c>
      <c r="H42" s="453">
        <v>0</v>
      </c>
      <c r="I42" s="453">
        <v>0</v>
      </c>
      <c r="J42" s="453">
        <v>0</v>
      </c>
      <c r="K42" s="453">
        <v>0</v>
      </c>
      <c r="L42" s="453"/>
      <c r="M42" s="453"/>
      <c r="N42" s="453"/>
      <c r="P42" s="4" t="s">
        <v>440</v>
      </c>
      <c r="U42" s="250"/>
    </row>
    <row r="43" spans="1:21">
      <c r="B43" s="143" t="s">
        <v>152</v>
      </c>
      <c r="C43" s="452">
        <v>1</v>
      </c>
      <c r="D43" s="452">
        <v>1</v>
      </c>
      <c r="E43" s="452">
        <v>1</v>
      </c>
      <c r="F43" s="452">
        <v>1</v>
      </c>
      <c r="G43" s="452">
        <v>1</v>
      </c>
      <c r="H43" s="452">
        <v>1</v>
      </c>
      <c r="I43" s="452">
        <v>1</v>
      </c>
      <c r="J43" s="452">
        <v>1</v>
      </c>
      <c r="K43" s="452">
        <v>1</v>
      </c>
      <c r="L43" s="346"/>
      <c r="M43" s="452"/>
      <c r="N43" s="452"/>
      <c r="O43" s="755" t="s">
        <v>442</v>
      </c>
      <c r="P43" s="157">
        <v>0</v>
      </c>
      <c r="Q43" s="233">
        <v>1</v>
      </c>
      <c r="U43" s="251"/>
    </row>
    <row r="44" spans="1:21">
      <c r="B44" s="143" t="s">
        <v>154</v>
      </c>
      <c r="C44" s="252">
        <f>+Q48</f>
        <v>0.89999999999999991</v>
      </c>
      <c r="D44" s="252">
        <v>0.89999999999999991</v>
      </c>
      <c r="E44" s="252">
        <v>0.89999999999999991</v>
      </c>
      <c r="F44" s="252">
        <v>0.89999999999999991</v>
      </c>
      <c r="G44" s="252">
        <v>0.89999999999999991</v>
      </c>
      <c r="H44" s="252">
        <v>0.89999999999999991</v>
      </c>
      <c r="I44" s="252">
        <v>0.89999999999999991</v>
      </c>
      <c r="J44" s="252">
        <v>0.89999999999999991</v>
      </c>
      <c r="K44" s="252">
        <v>0.89999999999999991</v>
      </c>
      <c r="L44" s="252">
        <v>0.89999999999999991</v>
      </c>
      <c r="M44" s="252">
        <v>0.89999999999999991</v>
      </c>
      <c r="N44" s="252">
        <v>0.89999999999999991</v>
      </c>
      <c r="O44" s="755"/>
      <c r="P44" s="157">
        <v>0.01</v>
      </c>
      <c r="Q44" s="244">
        <f>+Q43-2%</f>
        <v>0.98</v>
      </c>
      <c r="S44" s="451" t="s">
        <v>515</v>
      </c>
      <c r="U44" s="251"/>
    </row>
    <row r="45" spans="1:21">
      <c r="B45" s="4"/>
      <c r="O45" s="755"/>
      <c r="P45" s="157">
        <v>0.02</v>
      </c>
      <c r="Q45" s="244">
        <f>+Q44-2%</f>
        <v>0.96</v>
      </c>
      <c r="S45" s="451">
        <v>2E-3</v>
      </c>
      <c r="U45" s="251"/>
    </row>
    <row r="46" spans="1:21">
      <c r="O46" s="755"/>
      <c r="P46" s="157">
        <v>0.03</v>
      </c>
      <c r="Q46" s="244">
        <f>+Q45-2%</f>
        <v>0.94</v>
      </c>
      <c r="S46" s="451">
        <v>2E-3</v>
      </c>
      <c r="U46" s="251"/>
    </row>
    <row r="47" spans="1:21">
      <c r="O47" s="755"/>
      <c r="P47" s="157">
        <v>0.04</v>
      </c>
      <c r="Q47" s="244">
        <f>+Q46-2%</f>
        <v>0.91999999999999993</v>
      </c>
      <c r="S47" s="451">
        <v>2E-3</v>
      </c>
      <c r="U47" s="251"/>
    </row>
    <row r="48" spans="1:21">
      <c r="O48" s="755"/>
      <c r="P48" s="157">
        <v>0.05</v>
      </c>
      <c r="Q48" s="244">
        <f>+Q47-2%</f>
        <v>0.89999999999999991</v>
      </c>
      <c r="S48" s="451">
        <v>2E-3</v>
      </c>
      <c r="U48" s="251"/>
    </row>
    <row r="49" spans="16:21">
      <c r="P49" s="157">
        <v>0.06</v>
      </c>
      <c r="Q49" s="244">
        <f t="shared" ref="Q49:Q63" si="2">+Q48-2%</f>
        <v>0.87999999999999989</v>
      </c>
      <c r="S49" s="451">
        <v>2E-3</v>
      </c>
      <c r="U49" s="251"/>
    </row>
    <row r="50" spans="16:21">
      <c r="P50" s="157">
        <v>7.0000000000000007E-2</v>
      </c>
      <c r="Q50" s="244">
        <f t="shared" si="2"/>
        <v>0.85999999999999988</v>
      </c>
      <c r="S50" s="451">
        <v>2E-3</v>
      </c>
      <c r="U50" s="251"/>
    </row>
    <row r="51" spans="16:21">
      <c r="P51" s="157">
        <v>0.08</v>
      </c>
      <c r="Q51" s="244">
        <f t="shared" si="2"/>
        <v>0.83999999999999986</v>
      </c>
      <c r="S51" s="451">
        <v>2E-3</v>
      </c>
      <c r="U51" s="251"/>
    </row>
    <row r="52" spans="16:21">
      <c r="P52" s="157">
        <v>0.09</v>
      </c>
      <c r="Q52" s="244">
        <f t="shared" si="2"/>
        <v>0.81999999999999984</v>
      </c>
      <c r="S52" s="451">
        <v>2E-3</v>
      </c>
    </row>
    <row r="53" spans="16:21">
      <c r="P53" s="157">
        <v>0.1</v>
      </c>
      <c r="Q53" s="244">
        <f t="shared" si="2"/>
        <v>0.79999999999999982</v>
      </c>
      <c r="S53" s="451">
        <v>2E-3</v>
      </c>
    </row>
    <row r="54" spans="16:21">
      <c r="P54" s="157">
        <v>0.11</v>
      </c>
      <c r="Q54" s="244">
        <f t="shared" si="2"/>
        <v>0.7799999999999998</v>
      </c>
      <c r="S54" s="451">
        <v>2E-3</v>
      </c>
    </row>
    <row r="55" spans="16:21">
      <c r="P55" s="157">
        <v>0.12</v>
      </c>
      <c r="Q55" s="244">
        <f t="shared" si="2"/>
        <v>0.75999999999999979</v>
      </c>
    </row>
    <row r="56" spans="16:21">
      <c r="P56" s="157">
        <v>0.13</v>
      </c>
      <c r="Q56" s="244">
        <f t="shared" si="2"/>
        <v>0.73999999999999977</v>
      </c>
    </row>
    <row r="57" spans="16:21">
      <c r="P57" s="157">
        <v>0.14000000000000001</v>
      </c>
      <c r="Q57" s="244">
        <f t="shared" si="2"/>
        <v>0.71999999999999975</v>
      </c>
    </row>
    <row r="58" spans="16:21">
      <c r="P58" s="157">
        <v>0.15</v>
      </c>
      <c r="Q58" s="244">
        <f t="shared" si="2"/>
        <v>0.69999999999999973</v>
      </c>
    </row>
    <row r="59" spans="16:21">
      <c r="P59" s="157">
        <v>0.16</v>
      </c>
      <c r="Q59" s="244">
        <f t="shared" si="2"/>
        <v>0.67999999999999972</v>
      </c>
    </row>
    <row r="60" spans="16:21">
      <c r="P60" s="157">
        <v>0.17</v>
      </c>
      <c r="Q60" s="244">
        <f t="shared" si="2"/>
        <v>0.6599999999999997</v>
      </c>
    </row>
    <row r="61" spans="16:21">
      <c r="P61" s="157">
        <v>0.18</v>
      </c>
      <c r="Q61" s="244">
        <f t="shared" si="2"/>
        <v>0.63999999999999968</v>
      </c>
    </row>
    <row r="62" spans="16:21">
      <c r="P62" s="157">
        <v>0.19</v>
      </c>
      <c r="Q62" s="244">
        <f t="shared" si="2"/>
        <v>0.61999999999999966</v>
      </c>
    </row>
    <row r="63" spans="16:21">
      <c r="P63" s="157">
        <v>0.2</v>
      </c>
      <c r="Q63" s="244">
        <f t="shared" si="2"/>
        <v>0.59999999999999964</v>
      </c>
    </row>
  </sheetData>
  <sheetProtection formatCells="0" formatColumns="0" formatRows="0"/>
  <mergeCells count="46">
    <mergeCell ref="B33:F33"/>
    <mergeCell ref="C6:N6"/>
    <mergeCell ref="C7:N7"/>
    <mergeCell ref="C8:N8"/>
    <mergeCell ref="A1:J4"/>
    <mergeCell ref="K1:L1"/>
    <mergeCell ref="M1:N1"/>
    <mergeCell ref="K2:L2"/>
    <mergeCell ref="M2:N2"/>
    <mergeCell ref="K3:L3"/>
    <mergeCell ref="M3:N3"/>
    <mergeCell ref="K4:L4"/>
    <mergeCell ref="M4:N4"/>
    <mergeCell ref="G30:N30"/>
    <mergeCell ref="B28:F28"/>
    <mergeCell ref="C13:N13"/>
    <mergeCell ref="G31:N31"/>
    <mergeCell ref="C15:N15"/>
    <mergeCell ref="C16:N16"/>
    <mergeCell ref="G32:N32"/>
    <mergeCell ref="A14:B14"/>
    <mergeCell ref="C14:N14"/>
    <mergeCell ref="A21:B21"/>
    <mergeCell ref="B27:F27"/>
    <mergeCell ref="G27:N27"/>
    <mergeCell ref="G28:N28"/>
    <mergeCell ref="B29:F29"/>
    <mergeCell ref="G29:N29"/>
    <mergeCell ref="B30:F30"/>
    <mergeCell ref="B32:F32"/>
    <mergeCell ref="O43:O48"/>
    <mergeCell ref="A17:B17"/>
    <mergeCell ref="C17:N17"/>
    <mergeCell ref="C9:N9"/>
    <mergeCell ref="B36:F36"/>
    <mergeCell ref="B37:F37"/>
    <mergeCell ref="B38:F38"/>
    <mergeCell ref="G33:N33"/>
    <mergeCell ref="G34:N34"/>
    <mergeCell ref="B34:F34"/>
    <mergeCell ref="B35:F35"/>
    <mergeCell ref="G35:N35"/>
    <mergeCell ref="G36:N36"/>
    <mergeCell ref="G37:N37"/>
    <mergeCell ref="G38:N38"/>
    <mergeCell ref="B31:F31"/>
  </mergeCells>
  <hyperlinks>
    <hyperlink ref="O5" location="'Matriz Sta Ana'!A1" display="Volver" xr:uid="{5FB5471E-8198-4ED7-BFD3-E89AFD647CD8}"/>
    <hyperlink ref="C13:N13" location="'Calidad PTAP'!A1" display="Informe de laboratorio" xr:uid="{A75DC708-939C-4741-81E3-BB0717DDA9AF}"/>
  </hyperlinks>
  <pageMargins left="0.7" right="0.7" top="0.75" bottom="0.75" header="0.3" footer="0.3"/>
  <pageSetup scale="68" fitToHeight="0" orientation="portrait" r:id="rId1"/>
  <rowBreaks count="1" manualBreakCount="1">
    <brk id="22" max="13" man="1"/>
  </rowBreaks>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793FFF-517E-4A7B-BC9A-F30326D60890}">
  <sheetPr>
    <tabColor rgb="FFFFFF00"/>
    <pageSetUpPr fitToPage="1"/>
  </sheetPr>
  <dimension ref="A1:Q69"/>
  <sheetViews>
    <sheetView view="pageBreakPreview" zoomScaleNormal="100" zoomScaleSheetLayoutView="100" workbookViewId="0">
      <selection activeCell="I21" sqref="I21"/>
    </sheetView>
  </sheetViews>
  <sheetFormatPr baseColWidth="10" defaultColWidth="11.42578125" defaultRowHeight="16.5"/>
  <cols>
    <col min="1" max="1" width="7.42578125" style="5" customWidth="1"/>
    <col min="2" max="2" width="33.5703125" style="5" customWidth="1"/>
    <col min="3" max="3" width="8.5703125" style="4" customWidth="1"/>
    <col min="4" max="4" width="8.42578125" style="4" customWidth="1"/>
    <col min="5" max="5" width="8.140625" style="4" customWidth="1"/>
    <col min="6" max="7" width="8.5703125" style="4" customWidth="1"/>
    <col min="8" max="9" width="9.5703125" style="4" customWidth="1"/>
    <col min="10" max="10" width="8" style="4" bestFit="1" customWidth="1"/>
    <col min="11" max="11" width="7.140625" style="4" customWidth="1"/>
    <col min="12" max="12" width="8.5703125" style="4" customWidth="1"/>
    <col min="13" max="13" width="7.140625" style="4" bestFit="1" customWidth="1"/>
    <col min="14" max="14" width="8.5703125" style="4" bestFit="1" customWidth="1"/>
    <col min="15" max="16384" width="11.42578125" style="4"/>
  </cols>
  <sheetData>
    <row r="1" spans="1:15" ht="21.75" customHeight="1">
      <c r="A1" s="719" t="s">
        <v>113</v>
      </c>
      <c r="B1" s="720"/>
      <c r="C1" s="720"/>
      <c r="D1" s="720"/>
      <c r="E1" s="720"/>
      <c r="F1" s="720"/>
      <c r="G1" s="720"/>
      <c r="H1" s="720"/>
      <c r="I1" s="720"/>
      <c r="J1" s="721"/>
      <c r="K1" s="728" t="s">
        <v>114</v>
      </c>
      <c r="L1" s="729"/>
      <c r="M1" s="728"/>
      <c r="N1" s="729"/>
    </row>
    <row r="2" spans="1:15" ht="21.75" customHeight="1">
      <c r="A2" s="722"/>
      <c r="B2" s="723"/>
      <c r="C2" s="723"/>
      <c r="D2" s="723"/>
      <c r="E2" s="723"/>
      <c r="F2" s="723"/>
      <c r="G2" s="723"/>
      <c r="H2" s="723"/>
      <c r="I2" s="723"/>
      <c r="J2" s="724"/>
      <c r="K2" s="728" t="s">
        <v>115</v>
      </c>
      <c r="L2" s="729"/>
      <c r="M2" s="728">
        <v>1</v>
      </c>
      <c r="N2" s="729"/>
    </row>
    <row r="3" spans="1:15" ht="21.75" customHeight="1">
      <c r="A3" s="722"/>
      <c r="B3" s="723"/>
      <c r="C3" s="723"/>
      <c r="D3" s="723"/>
      <c r="E3" s="723"/>
      <c r="F3" s="723"/>
      <c r="G3" s="723"/>
      <c r="H3" s="723"/>
      <c r="I3" s="723"/>
      <c r="J3" s="724"/>
      <c r="K3" s="728" t="s">
        <v>116</v>
      </c>
      <c r="L3" s="729"/>
      <c r="M3" s="730">
        <v>43464</v>
      </c>
      <c r="N3" s="731"/>
    </row>
    <row r="4" spans="1:15" ht="21.75" customHeight="1">
      <c r="A4" s="725"/>
      <c r="B4" s="726"/>
      <c r="C4" s="726"/>
      <c r="D4" s="726"/>
      <c r="E4" s="726"/>
      <c r="F4" s="726"/>
      <c r="G4" s="726"/>
      <c r="H4" s="726"/>
      <c r="I4" s="726"/>
      <c r="J4" s="727"/>
      <c r="K4" s="728" t="s">
        <v>117</v>
      </c>
      <c r="L4" s="729"/>
      <c r="M4" s="732" t="s">
        <v>118</v>
      </c>
      <c r="N4" s="733"/>
    </row>
    <row r="5" spans="1:15" ht="27.75" customHeight="1">
      <c r="M5" s="6"/>
      <c r="N5" s="7"/>
      <c r="O5" s="52" t="s">
        <v>120</v>
      </c>
    </row>
    <row r="6" spans="1:15" ht="18.75" customHeight="1">
      <c r="A6" s="5" t="s">
        <v>121</v>
      </c>
      <c r="C6" s="734" t="s">
        <v>36</v>
      </c>
      <c r="D6" s="734"/>
      <c r="E6" s="734"/>
      <c r="F6" s="734"/>
      <c r="G6" s="734"/>
      <c r="H6" s="734"/>
      <c r="I6" s="734"/>
      <c r="J6" s="734"/>
      <c r="K6" s="734"/>
      <c r="L6" s="734"/>
      <c r="M6" s="734"/>
      <c r="N6" s="734"/>
    </row>
    <row r="7" spans="1:15" ht="18" customHeight="1">
      <c r="A7" s="5" t="s">
        <v>3</v>
      </c>
      <c r="C7" s="700" t="s">
        <v>37</v>
      </c>
      <c r="D7" s="700"/>
      <c r="E7" s="700"/>
      <c r="F7" s="700"/>
      <c r="G7" s="700"/>
      <c r="H7" s="700"/>
      <c r="I7" s="700"/>
      <c r="J7" s="700"/>
      <c r="K7" s="700"/>
      <c r="L7" s="700"/>
      <c r="M7" s="700"/>
      <c r="N7" s="700"/>
    </row>
    <row r="8" spans="1:15">
      <c r="A8" s="5" t="s">
        <v>122</v>
      </c>
      <c r="C8" s="8" t="s">
        <v>296</v>
      </c>
      <c r="D8" s="8"/>
      <c r="E8" s="8"/>
      <c r="F8" s="8"/>
      <c r="G8" s="8"/>
      <c r="H8" s="8"/>
      <c r="I8" s="8"/>
      <c r="J8" s="8"/>
      <c r="K8" s="8"/>
      <c r="L8" s="8"/>
      <c r="M8" s="8"/>
      <c r="N8" s="8"/>
    </row>
    <row r="9" spans="1:15" ht="17.25" customHeight="1">
      <c r="A9" s="5" t="s">
        <v>124</v>
      </c>
      <c r="C9" s="700" t="s">
        <v>458</v>
      </c>
      <c r="D9" s="700"/>
      <c r="E9" s="700"/>
      <c r="F9" s="700"/>
      <c r="G9" s="700"/>
      <c r="H9" s="700"/>
      <c r="I9" s="700"/>
      <c r="J9" s="700"/>
      <c r="K9" s="700"/>
      <c r="L9" s="700"/>
      <c r="M9" s="700"/>
      <c r="N9" s="700"/>
    </row>
    <row r="10" spans="1:15">
      <c r="A10" s="5" t="s">
        <v>5</v>
      </c>
      <c r="C10" s="64" t="s">
        <v>15</v>
      </c>
      <c r="D10" s="64"/>
      <c r="E10" s="64"/>
      <c r="F10" s="64"/>
      <c r="G10" s="64"/>
      <c r="H10" s="64"/>
      <c r="I10" s="64"/>
      <c r="J10" s="64"/>
      <c r="K10" s="64"/>
      <c r="L10" s="64"/>
      <c r="M10" s="64"/>
      <c r="N10" s="64"/>
    </row>
    <row r="11" spans="1:15">
      <c r="A11" s="5" t="s">
        <v>6</v>
      </c>
      <c r="C11" s="64" t="s">
        <v>16</v>
      </c>
      <c r="D11" s="64"/>
      <c r="E11" s="64"/>
      <c r="F11" s="64"/>
      <c r="G11" s="64"/>
      <c r="H11" s="64"/>
      <c r="I11" s="64"/>
      <c r="J11" s="64"/>
      <c r="K11" s="64"/>
      <c r="L11" s="64"/>
      <c r="M11" s="64"/>
      <c r="N11" s="64"/>
    </row>
    <row r="12" spans="1:15" ht="17.25" customHeight="1">
      <c r="A12" s="5" t="s">
        <v>7</v>
      </c>
      <c r="C12" s="700" t="s">
        <v>39</v>
      </c>
      <c r="D12" s="700"/>
      <c r="E12" s="700"/>
      <c r="F12" s="700"/>
      <c r="G12" s="700"/>
      <c r="H12" s="700"/>
      <c r="I12" s="700"/>
      <c r="J12" s="700"/>
      <c r="K12" s="700"/>
      <c r="L12" s="700"/>
      <c r="M12" s="700"/>
      <c r="N12" s="700"/>
    </row>
    <row r="13" spans="1:15" ht="30" customHeight="1">
      <c r="A13" s="737" t="s">
        <v>125</v>
      </c>
      <c r="B13" s="737"/>
      <c r="C13" s="700" t="s">
        <v>16</v>
      </c>
      <c r="D13" s="700"/>
      <c r="E13" s="700"/>
      <c r="F13" s="700"/>
      <c r="G13" s="700"/>
      <c r="H13" s="700"/>
      <c r="I13" s="700"/>
      <c r="J13" s="700"/>
      <c r="K13" s="700"/>
      <c r="L13" s="700"/>
      <c r="M13" s="700"/>
      <c r="N13" s="700"/>
    </row>
    <row r="14" spans="1:15" ht="52.5" customHeight="1">
      <c r="A14" s="5" t="s">
        <v>127</v>
      </c>
      <c r="C14" s="700" t="s">
        <v>40</v>
      </c>
      <c r="D14" s="700"/>
      <c r="E14" s="700"/>
      <c r="F14" s="700"/>
      <c r="G14" s="700"/>
      <c r="H14" s="700"/>
      <c r="I14" s="700"/>
      <c r="J14" s="700"/>
      <c r="K14" s="700"/>
      <c r="L14" s="700"/>
      <c r="M14" s="700"/>
      <c r="N14" s="700"/>
    </row>
    <row r="15" spans="1:15" ht="19.5" customHeight="1">
      <c r="A15" s="5" t="s">
        <v>10</v>
      </c>
      <c r="C15" s="701" t="s">
        <v>300</v>
      </c>
      <c r="D15" s="701"/>
      <c r="E15" s="701"/>
      <c r="F15" s="701"/>
      <c r="G15" s="701"/>
      <c r="H15" s="701"/>
      <c r="I15" s="701"/>
      <c r="J15" s="701"/>
      <c r="K15" s="701"/>
      <c r="L15" s="701"/>
      <c r="M15" s="701"/>
      <c r="N15" s="701"/>
    </row>
    <row r="16" spans="1:15" ht="24.75" customHeight="1">
      <c r="A16" s="707" t="s">
        <v>443</v>
      </c>
      <c r="B16" s="707"/>
      <c r="C16" s="708" t="s">
        <v>714</v>
      </c>
      <c r="D16" s="709"/>
      <c r="E16" s="709"/>
      <c r="F16" s="709"/>
      <c r="G16" s="709"/>
      <c r="H16" s="709"/>
      <c r="I16" s="709"/>
      <c r="J16" s="709"/>
      <c r="K16" s="709"/>
      <c r="L16" s="709"/>
      <c r="M16" s="709"/>
      <c r="N16" s="709"/>
    </row>
    <row r="17" spans="1:17" ht="24.75" customHeight="1">
      <c r="C17" s="5"/>
      <c r="D17" s="5"/>
      <c r="E17" s="5"/>
      <c r="F17" s="5"/>
      <c r="G17" s="5"/>
      <c r="H17" s="5"/>
      <c r="I17" s="5"/>
      <c r="J17" s="5"/>
      <c r="K17" s="5"/>
      <c r="L17" s="5"/>
      <c r="M17" s="5"/>
      <c r="N17" s="5"/>
    </row>
    <row r="18" spans="1:17">
      <c r="A18" s="4"/>
      <c r="B18" s="10" t="s">
        <v>129</v>
      </c>
      <c r="C18" s="11" t="s">
        <v>130</v>
      </c>
      <c r="D18" s="11" t="s">
        <v>131</v>
      </c>
      <c r="E18" s="11" t="s">
        <v>132</v>
      </c>
      <c r="F18" s="11" t="s">
        <v>133</v>
      </c>
      <c r="G18" s="11" t="s">
        <v>134</v>
      </c>
      <c r="H18" s="11" t="s">
        <v>135</v>
      </c>
      <c r="I18" s="11" t="s">
        <v>136</v>
      </c>
      <c r="J18" s="11" t="s">
        <v>137</v>
      </c>
      <c r="K18" s="11" t="s">
        <v>138</v>
      </c>
      <c r="L18" s="11" t="s">
        <v>139</v>
      </c>
      <c r="M18" s="11" t="s">
        <v>140</v>
      </c>
      <c r="N18" s="11" t="s">
        <v>141</v>
      </c>
    </row>
    <row r="19" spans="1:17">
      <c r="A19" s="4"/>
      <c r="B19" s="10"/>
      <c r="C19" s="11">
        <v>1</v>
      </c>
      <c r="D19" s="11">
        <v>2</v>
      </c>
      <c r="E19" s="11">
        <v>3</v>
      </c>
      <c r="F19" s="11">
        <v>4</v>
      </c>
      <c r="G19" s="11">
        <v>5</v>
      </c>
      <c r="H19" s="11">
        <v>6</v>
      </c>
      <c r="I19" s="11">
        <v>7</v>
      </c>
      <c r="J19" s="11">
        <v>8</v>
      </c>
      <c r="K19" s="11">
        <v>9</v>
      </c>
      <c r="L19" s="11">
        <v>10</v>
      </c>
      <c r="M19" s="11">
        <v>11</v>
      </c>
      <c r="N19" s="11">
        <v>12</v>
      </c>
    </row>
    <row r="20" spans="1:17" ht="35.25" customHeight="1">
      <c r="A20" s="702" t="s">
        <v>142</v>
      </c>
      <c r="B20" s="758"/>
      <c r="C20" s="269">
        <v>1</v>
      </c>
      <c r="D20" s="269">
        <v>1</v>
      </c>
      <c r="E20" s="269">
        <v>1</v>
      </c>
      <c r="F20" s="269">
        <v>1</v>
      </c>
      <c r="G20" s="269">
        <v>1</v>
      </c>
      <c r="H20" s="269">
        <v>1</v>
      </c>
      <c r="I20" s="269">
        <v>1</v>
      </c>
      <c r="J20" s="269">
        <v>1</v>
      </c>
      <c r="K20" s="269">
        <v>1</v>
      </c>
      <c r="L20" s="269">
        <v>0</v>
      </c>
      <c r="M20" s="269">
        <v>0</v>
      </c>
      <c r="N20" s="269">
        <v>0</v>
      </c>
    </row>
    <row r="21" spans="1:17" ht="35.25" customHeight="1">
      <c r="A21" s="542" t="s">
        <v>4</v>
      </c>
      <c r="B21" s="543"/>
      <c r="C21" s="14">
        <v>0.90910000000000002</v>
      </c>
      <c r="D21" s="14">
        <v>0.90910000000000002</v>
      </c>
      <c r="E21" s="14">
        <v>0.90910000000000002</v>
      </c>
      <c r="F21" s="14">
        <v>0.90910000000000002</v>
      </c>
      <c r="G21" s="14">
        <v>0.90910000000000002</v>
      </c>
      <c r="H21" s="14">
        <v>0.90910000000000002</v>
      </c>
      <c r="I21" s="14">
        <v>0.90910000000000002</v>
      </c>
      <c r="J21" s="14">
        <v>0.90910000000000002</v>
      </c>
      <c r="K21" s="14">
        <v>0.90910000000000002</v>
      </c>
      <c r="L21" s="14">
        <v>0.90910000000000002</v>
      </c>
      <c r="M21" s="14">
        <v>0.90910000000000002</v>
      </c>
      <c r="N21" s="14">
        <v>0.90910000000000002</v>
      </c>
    </row>
    <row r="22" spans="1:17" ht="42" customHeight="1">
      <c r="A22" s="13" t="s">
        <v>143</v>
      </c>
      <c r="B22" s="13"/>
      <c r="C22" s="157">
        <f>+IF(C20&gt;C21,1,C20/C21)</f>
        <v>1</v>
      </c>
      <c r="P22" s="4" t="s">
        <v>444</v>
      </c>
      <c r="Q22" s="4">
        <v>22</v>
      </c>
    </row>
    <row r="23" spans="1:17" s="19" customFormat="1" ht="210" customHeight="1">
      <c r="A23" s="15" t="s">
        <v>144</v>
      </c>
      <c r="B23" s="16"/>
      <c r="C23" s="17"/>
      <c r="D23" s="17"/>
      <c r="E23" s="17"/>
      <c r="F23" s="17"/>
      <c r="G23" s="17"/>
      <c r="H23" s="17"/>
      <c r="I23" s="17"/>
      <c r="J23" s="17"/>
      <c r="K23" s="17"/>
      <c r="L23" s="17"/>
      <c r="M23" s="17"/>
      <c r="N23" s="18"/>
    </row>
    <row r="24" spans="1:17" ht="7.5" customHeight="1"/>
    <row r="25" spans="1:17" ht="25.5" customHeight="1">
      <c r="A25" s="20" t="s">
        <v>145</v>
      </c>
      <c r="B25" s="21"/>
      <c r="C25" s="22"/>
      <c r="D25" s="22"/>
      <c r="E25" s="22"/>
      <c r="F25" s="22"/>
      <c r="G25" s="23" t="s">
        <v>146</v>
      </c>
      <c r="H25" s="22"/>
      <c r="I25" s="22"/>
      <c r="J25" s="22"/>
      <c r="K25" s="22"/>
      <c r="L25" s="22"/>
      <c r="M25" s="22"/>
      <c r="N25" s="24"/>
    </row>
    <row r="26" spans="1:17" ht="25.5" customHeight="1">
      <c r="A26" s="25" t="s">
        <v>129</v>
      </c>
      <c r="G26" s="26"/>
      <c r="N26" s="27"/>
    </row>
    <row r="27" spans="1:17" s="19" customFormat="1" ht="28.5" customHeight="1">
      <c r="A27" s="324" t="str">
        <f>+IF(C19&gt;0,C18,"")</f>
        <v>ene</v>
      </c>
      <c r="B27" s="763" t="s">
        <v>662</v>
      </c>
      <c r="C27" s="764"/>
      <c r="D27" s="764"/>
      <c r="E27" s="764"/>
      <c r="F27" s="765"/>
      <c r="G27" s="763" t="s">
        <v>663</v>
      </c>
      <c r="H27" s="764"/>
      <c r="I27" s="764"/>
      <c r="J27" s="764"/>
      <c r="K27" s="764"/>
      <c r="L27" s="764"/>
      <c r="M27" s="764"/>
      <c r="N27" s="765"/>
    </row>
    <row r="28" spans="1:17" s="19" customFormat="1" ht="28.5" customHeight="1">
      <c r="A28" s="325" t="str">
        <f>+IF(D19&gt;0,D18,"")</f>
        <v>feb</v>
      </c>
      <c r="B28" s="763" t="s">
        <v>662</v>
      </c>
      <c r="C28" s="764"/>
      <c r="D28" s="764"/>
      <c r="E28" s="764"/>
      <c r="F28" s="765"/>
      <c r="G28" s="763" t="s">
        <v>663</v>
      </c>
      <c r="H28" s="764"/>
      <c r="I28" s="764"/>
      <c r="J28" s="764"/>
      <c r="K28" s="764"/>
      <c r="L28" s="764"/>
      <c r="M28" s="764"/>
      <c r="N28" s="765"/>
    </row>
    <row r="29" spans="1:17" s="19" customFormat="1" ht="31.5" customHeight="1">
      <c r="A29" s="325" t="str">
        <f>+IF(E19&gt;0,E18,"")</f>
        <v>mar</v>
      </c>
      <c r="B29" s="763" t="s">
        <v>662</v>
      </c>
      <c r="C29" s="764"/>
      <c r="D29" s="764"/>
      <c r="E29" s="764"/>
      <c r="F29" s="765"/>
      <c r="G29" s="763" t="s">
        <v>663</v>
      </c>
      <c r="H29" s="764"/>
      <c r="I29" s="764"/>
      <c r="J29" s="764"/>
      <c r="K29" s="764"/>
      <c r="L29" s="764"/>
      <c r="M29" s="764"/>
      <c r="N29" s="765"/>
    </row>
    <row r="30" spans="1:17" s="19" customFormat="1" ht="28.5" customHeight="1">
      <c r="A30" s="32" t="str">
        <f>+IF(F19&gt;0,F18,"")</f>
        <v>abr</v>
      </c>
      <c r="B30" s="763" t="s">
        <v>662</v>
      </c>
      <c r="C30" s="764"/>
      <c r="D30" s="764"/>
      <c r="E30" s="764"/>
      <c r="F30" s="765"/>
      <c r="G30" s="763" t="s">
        <v>663</v>
      </c>
      <c r="H30" s="764"/>
      <c r="I30" s="764"/>
      <c r="J30" s="764"/>
      <c r="K30" s="764"/>
      <c r="L30" s="764"/>
      <c r="M30" s="764"/>
      <c r="N30" s="765"/>
    </row>
    <row r="31" spans="1:17" s="19" customFormat="1" ht="28.5" customHeight="1">
      <c r="A31" s="32" t="str">
        <f>+IF(G19&gt;0,G18,"")</f>
        <v>may</v>
      </c>
      <c r="B31" s="763" t="s">
        <v>662</v>
      </c>
      <c r="C31" s="764"/>
      <c r="D31" s="764"/>
      <c r="E31" s="764"/>
      <c r="F31" s="765"/>
      <c r="G31" s="763" t="s">
        <v>663</v>
      </c>
      <c r="H31" s="764"/>
      <c r="I31" s="764"/>
      <c r="J31" s="764"/>
      <c r="K31" s="764"/>
      <c r="L31" s="764"/>
      <c r="M31" s="764"/>
      <c r="N31" s="765"/>
    </row>
    <row r="32" spans="1:17" s="19" customFormat="1" ht="32.450000000000003" customHeight="1">
      <c r="A32" s="32" t="str">
        <f>+IF(H19&gt;0,H18,"")</f>
        <v>jun</v>
      </c>
      <c r="B32" s="763" t="s">
        <v>662</v>
      </c>
      <c r="C32" s="764"/>
      <c r="D32" s="764"/>
      <c r="E32" s="764"/>
      <c r="F32" s="765"/>
      <c r="G32" s="763" t="s">
        <v>663</v>
      </c>
      <c r="H32" s="764"/>
      <c r="I32" s="764"/>
      <c r="J32" s="764"/>
      <c r="K32" s="764"/>
      <c r="L32" s="764"/>
      <c r="M32" s="764"/>
      <c r="N32" s="765"/>
    </row>
    <row r="33" spans="1:17" s="19" customFormat="1" ht="33.75" customHeight="1">
      <c r="A33" s="32" t="str">
        <f>+IF(I19&gt;0,I18,"")</f>
        <v>jul</v>
      </c>
      <c r="B33" s="763" t="s">
        <v>662</v>
      </c>
      <c r="C33" s="764"/>
      <c r="D33" s="764"/>
      <c r="E33" s="764"/>
      <c r="F33" s="765"/>
      <c r="G33" s="763" t="s">
        <v>663</v>
      </c>
      <c r="H33" s="764"/>
      <c r="I33" s="764"/>
      <c r="J33" s="764"/>
      <c r="K33" s="764"/>
      <c r="L33" s="764"/>
      <c r="M33" s="764"/>
      <c r="N33" s="765"/>
    </row>
    <row r="34" spans="1:17" s="19" customFormat="1" ht="33" customHeight="1">
      <c r="A34" s="32" t="str">
        <f>+IF(J19&gt;0,J18,"")</f>
        <v>ago</v>
      </c>
      <c r="B34" s="763" t="s">
        <v>662</v>
      </c>
      <c r="C34" s="764"/>
      <c r="D34" s="764"/>
      <c r="E34" s="764"/>
      <c r="F34" s="765"/>
      <c r="G34" s="763" t="s">
        <v>663</v>
      </c>
      <c r="H34" s="764"/>
      <c r="I34" s="764"/>
      <c r="J34" s="764"/>
      <c r="K34" s="764"/>
      <c r="L34" s="764"/>
      <c r="M34" s="764"/>
      <c r="N34" s="765"/>
    </row>
    <row r="35" spans="1:17" s="19" customFormat="1" ht="28.5" customHeight="1">
      <c r="A35" s="32" t="str">
        <f>+IF(K19&gt;0,K18,"")</f>
        <v>sep</v>
      </c>
      <c r="B35" s="763" t="s">
        <v>662</v>
      </c>
      <c r="C35" s="764"/>
      <c r="D35" s="764"/>
      <c r="E35" s="764"/>
      <c r="F35" s="765"/>
      <c r="G35" s="763" t="s">
        <v>663</v>
      </c>
      <c r="H35" s="764"/>
      <c r="I35" s="764"/>
      <c r="J35" s="764"/>
      <c r="K35" s="764"/>
      <c r="L35" s="764"/>
      <c r="M35" s="764"/>
      <c r="N35" s="765"/>
    </row>
    <row r="36" spans="1:17" s="19" customFormat="1" ht="28.5" customHeight="1">
      <c r="A36" s="32" t="str">
        <f>+IF(L19&gt;0,L18,"")</f>
        <v>oct</v>
      </c>
      <c r="B36" s="760"/>
      <c r="C36" s="761"/>
      <c r="D36" s="761"/>
      <c r="E36" s="761"/>
      <c r="F36" s="762"/>
      <c r="G36" s="763"/>
      <c r="H36" s="764"/>
      <c r="I36" s="764"/>
      <c r="J36" s="764"/>
      <c r="K36" s="764"/>
      <c r="L36" s="764"/>
      <c r="M36" s="764"/>
      <c r="N36" s="765"/>
    </row>
    <row r="37" spans="1:17" s="19" customFormat="1" ht="28.5" customHeight="1">
      <c r="A37" s="32" t="str">
        <f>+IF(M19&gt;0,M18,"")</f>
        <v>nov</v>
      </c>
      <c r="B37" s="760"/>
      <c r="C37" s="761"/>
      <c r="D37" s="761"/>
      <c r="E37" s="761"/>
      <c r="F37" s="762"/>
      <c r="G37" s="763"/>
      <c r="H37" s="764"/>
      <c r="I37" s="764"/>
      <c r="J37" s="764"/>
      <c r="K37" s="764"/>
      <c r="L37" s="764"/>
      <c r="M37" s="764"/>
      <c r="N37" s="765"/>
    </row>
    <row r="38" spans="1:17" s="19" customFormat="1" ht="28.5" customHeight="1">
      <c r="A38" s="39" t="str">
        <f>+IF(N19&gt;0,N18,"")</f>
        <v>dic</v>
      </c>
      <c r="B38" s="760"/>
      <c r="C38" s="761"/>
      <c r="D38" s="761"/>
      <c r="E38" s="761"/>
      <c r="F38" s="762"/>
      <c r="G38" s="763"/>
      <c r="H38" s="764"/>
      <c r="I38" s="764"/>
      <c r="J38" s="764"/>
      <c r="K38" s="764"/>
      <c r="L38" s="764"/>
      <c r="M38" s="764"/>
      <c r="N38" s="765"/>
    </row>
    <row r="40" spans="1:17">
      <c r="B40" s="5" t="s">
        <v>455</v>
      </c>
      <c r="C40" s="11" t="s">
        <v>130</v>
      </c>
      <c r="D40" s="11" t="s">
        <v>131</v>
      </c>
      <c r="E40" s="11" t="s">
        <v>132</v>
      </c>
      <c r="F40" s="11" t="s">
        <v>133</v>
      </c>
      <c r="G40" s="11" t="s">
        <v>134</v>
      </c>
      <c r="H40" s="11" t="s">
        <v>135</v>
      </c>
      <c r="I40" s="11" t="s">
        <v>136</v>
      </c>
      <c r="J40" s="11" t="s">
        <v>137</v>
      </c>
      <c r="K40" s="11" t="s">
        <v>138</v>
      </c>
      <c r="L40" s="11" t="s">
        <v>139</v>
      </c>
      <c r="M40" s="11" t="s">
        <v>140</v>
      </c>
      <c r="N40" s="11" t="s">
        <v>141</v>
      </c>
    </row>
    <row r="41" spans="1:17">
      <c r="B41" s="268" t="s">
        <v>456</v>
      </c>
      <c r="C41" s="321">
        <v>22</v>
      </c>
      <c r="D41" s="321">
        <v>22</v>
      </c>
      <c r="E41" s="321">
        <v>22</v>
      </c>
      <c r="F41" s="321">
        <v>22</v>
      </c>
      <c r="G41" s="321">
        <v>22</v>
      </c>
      <c r="H41" s="321">
        <v>22</v>
      </c>
      <c r="I41" s="321">
        <v>22</v>
      </c>
      <c r="J41" s="321">
        <v>22</v>
      </c>
      <c r="K41" s="321">
        <v>22</v>
      </c>
      <c r="L41" s="321" t="e">
        <f>+N59</f>
        <v>#DIV/0!</v>
      </c>
      <c r="M41" s="321" t="e">
        <f>+N60</f>
        <v>#DIV/0!</v>
      </c>
      <c r="N41" s="321" t="e">
        <f>+N61</f>
        <v>#DIV/0!</v>
      </c>
      <c r="P41" s="4">
        <v>22</v>
      </c>
      <c r="Q41" s="157"/>
    </row>
    <row r="42" spans="1:17">
      <c r="B42" s="143" t="s">
        <v>457</v>
      </c>
      <c r="C42" s="556" t="str">
        <f>IF(C41=22,"100%",IF(C41=21,"95.45%",IF(C41=20,"90.91%",IF(C41=19,"86.36%",IF(C41=18,"81.82%","ERROR")))))</f>
        <v>100%</v>
      </c>
      <c r="D42" s="556" t="str">
        <f>IF(D41=22,"100%",IF(D41=21,"95.45%",IF(D41=20,"90.91%",IF(D41=19,"86.36%",IF(D41=18,"81.82%","ERROR")))))</f>
        <v>100%</v>
      </c>
      <c r="E42" s="556" t="str">
        <f>IF(E41=22,"100%",IF(E41=21,"95.45%",IF(E41=20,"90.91%",IF(E41=19,"86.36%",IF(E41=18,"81.82%","ERROR")))))</f>
        <v>100%</v>
      </c>
      <c r="F42" s="556" t="str">
        <f t="shared" ref="F42:N42" si="0">IF(F41=22,"100%",IF(F41=21,"95.45%",IF(F41=20,"90.91%",IF(F41=19,"86.36%",IF(F41=18,"81.82%","ERROR")))))</f>
        <v>100%</v>
      </c>
      <c r="G42" s="556" t="str">
        <f t="shared" si="0"/>
        <v>100%</v>
      </c>
      <c r="H42" s="556" t="str">
        <f t="shared" si="0"/>
        <v>100%</v>
      </c>
      <c r="I42" s="556" t="str">
        <f t="shared" si="0"/>
        <v>100%</v>
      </c>
      <c r="J42" s="556" t="str">
        <f t="shared" si="0"/>
        <v>100%</v>
      </c>
      <c r="K42" s="556" t="str">
        <f t="shared" si="0"/>
        <v>100%</v>
      </c>
      <c r="L42" s="556" t="e">
        <f t="shared" si="0"/>
        <v>#DIV/0!</v>
      </c>
      <c r="M42" s="556" t="e">
        <f t="shared" si="0"/>
        <v>#DIV/0!</v>
      </c>
      <c r="N42" s="556" t="e">
        <f t="shared" si="0"/>
        <v>#DIV/0!</v>
      </c>
      <c r="P42" s="4">
        <v>20</v>
      </c>
    </row>
    <row r="43" spans="1:17">
      <c r="P43" s="4">
        <v>19</v>
      </c>
    </row>
    <row r="44" spans="1:17">
      <c r="P44" s="4">
        <v>18</v>
      </c>
    </row>
    <row r="45" spans="1:17">
      <c r="P45" s="4">
        <v>17</v>
      </c>
    </row>
    <row r="46" spans="1:17">
      <c r="P46" s="4">
        <v>16</v>
      </c>
    </row>
    <row r="47" spans="1:17">
      <c r="P47" s="4">
        <v>15</v>
      </c>
    </row>
    <row r="48" spans="1:17">
      <c r="F48" s="244">
        <f t="shared" ref="F48:F67" si="1">+G48+F49</f>
        <v>0.99999999999999967</v>
      </c>
      <c r="G48" s="242">
        <f>1/22</f>
        <v>4.5454545454545456E-2</v>
      </c>
      <c r="H48" s="4">
        <v>22</v>
      </c>
      <c r="K48" s="4" t="s">
        <v>445</v>
      </c>
      <c r="P48" s="4">
        <v>14</v>
      </c>
    </row>
    <row r="49" spans="6:16">
      <c r="F49" s="244">
        <f t="shared" si="1"/>
        <v>0.95454545454545425</v>
      </c>
      <c r="G49" s="242">
        <f t="shared" ref="G49:G69" si="2">1/22</f>
        <v>4.5454545454545456E-2</v>
      </c>
      <c r="H49" s="4">
        <v>21</v>
      </c>
      <c r="L49" s="4" t="s">
        <v>483</v>
      </c>
      <c r="M49" s="4" t="s">
        <v>484</v>
      </c>
      <c r="N49" s="4" t="s">
        <v>480</v>
      </c>
      <c r="P49" s="4">
        <v>13</v>
      </c>
    </row>
    <row r="50" spans="6:16">
      <c r="F50" s="244">
        <f t="shared" si="1"/>
        <v>0.90909090909090884</v>
      </c>
      <c r="G50" s="242">
        <f t="shared" si="2"/>
        <v>4.5454545454545456E-2</v>
      </c>
      <c r="H50" s="4">
        <v>20</v>
      </c>
      <c r="K50" s="4" t="s">
        <v>212</v>
      </c>
      <c r="L50" s="554"/>
      <c r="M50" s="554"/>
      <c r="N50" s="554" t="e">
        <f>ROUND(AVERAGE(L50:M50),0)</f>
        <v>#DIV/0!</v>
      </c>
      <c r="P50" s="4">
        <v>12</v>
      </c>
    </row>
    <row r="51" spans="6:16">
      <c r="F51" s="244">
        <f t="shared" si="1"/>
        <v>0.86363636363636342</v>
      </c>
      <c r="G51" s="242">
        <f t="shared" si="2"/>
        <v>4.5454545454545456E-2</v>
      </c>
      <c r="H51" s="4">
        <v>19</v>
      </c>
      <c r="K51" s="4" t="s">
        <v>213</v>
      </c>
      <c r="L51" s="554"/>
      <c r="M51" s="554"/>
      <c r="N51" s="554" t="e">
        <f t="shared" ref="N51:N61" si="3">ROUND(AVERAGE(L51:M51),0)</f>
        <v>#DIV/0!</v>
      </c>
      <c r="P51" s="4">
        <v>11</v>
      </c>
    </row>
    <row r="52" spans="6:16">
      <c r="F52" s="244">
        <f t="shared" si="1"/>
        <v>0.81818181818181801</v>
      </c>
      <c r="G52" s="242">
        <f t="shared" si="2"/>
        <v>4.5454545454545456E-2</v>
      </c>
      <c r="H52" s="4">
        <v>18</v>
      </c>
      <c r="K52" s="4" t="s">
        <v>214</v>
      </c>
      <c r="L52" s="554"/>
      <c r="M52" s="554"/>
      <c r="N52" s="554" t="e">
        <f t="shared" si="3"/>
        <v>#DIV/0!</v>
      </c>
      <c r="P52" s="4">
        <v>10</v>
      </c>
    </row>
    <row r="53" spans="6:16">
      <c r="F53" s="244">
        <f t="shared" si="1"/>
        <v>0.7727272727272726</v>
      </c>
      <c r="G53" s="242">
        <f t="shared" si="2"/>
        <v>4.5454545454545456E-2</v>
      </c>
      <c r="H53" s="4">
        <v>17</v>
      </c>
      <c r="K53" s="4" t="s">
        <v>215</v>
      </c>
      <c r="L53" s="555"/>
      <c r="M53" s="555"/>
      <c r="N53" s="554" t="e">
        <f t="shared" si="3"/>
        <v>#DIV/0!</v>
      </c>
      <c r="P53" s="4">
        <v>9</v>
      </c>
    </row>
    <row r="54" spans="6:16">
      <c r="F54" s="244">
        <f t="shared" si="1"/>
        <v>0.72727272727272718</v>
      </c>
      <c r="G54" s="242">
        <f t="shared" si="2"/>
        <v>4.5454545454545456E-2</v>
      </c>
      <c r="H54" s="4">
        <v>16</v>
      </c>
      <c r="K54" s="4" t="s">
        <v>216</v>
      </c>
      <c r="L54" s="555"/>
      <c r="M54" s="555"/>
      <c r="N54" s="554" t="e">
        <f t="shared" si="3"/>
        <v>#DIV/0!</v>
      </c>
      <c r="P54" s="4">
        <v>8</v>
      </c>
    </row>
    <row r="55" spans="6:16">
      <c r="F55" s="244">
        <f t="shared" si="1"/>
        <v>0.68181818181818177</v>
      </c>
      <c r="G55" s="242">
        <f t="shared" si="2"/>
        <v>4.5454545454545456E-2</v>
      </c>
      <c r="H55" s="4">
        <v>15</v>
      </c>
      <c r="K55" s="4" t="s">
        <v>217</v>
      </c>
      <c r="L55" s="555"/>
      <c r="M55" s="555"/>
      <c r="N55" s="554" t="e">
        <f t="shared" si="3"/>
        <v>#DIV/0!</v>
      </c>
      <c r="P55" s="4">
        <v>7</v>
      </c>
    </row>
    <row r="56" spans="6:16">
      <c r="F56" s="244">
        <f t="shared" si="1"/>
        <v>0.63636363636363635</v>
      </c>
      <c r="G56" s="242">
        <f t="shared" si="2"/>
        <v>4.5454545454545456E-2</v>
      </c>
      <c r="H56" s="4">
        <v>14</v>
      </c>
      <c r="K56" s="4" t="s">
        <v>218</v>
      </c>
      <c r="L56" s="554"/>
      <c r="M56" s="554"/>
      <c r="N56" s="554" t="e">
        <f t="shared" si="3"/>
        <v>#DIV/0!</v>
      </c>
      <c r="P56" s="4">
        <v>6</v>
      </c>
    </row>
    <row r="57" spans="6:16">
      <c r="F57" s="244">
        <f t="shared" si="1"/>
        <v>0.59090909090909094</v>
      </c>
      <c r="G57" s="242">
        <f t="shared" si="2"/>
        <v>4.5454545454545456E-2</v>
      </c>
      <c r="H57" s="4">
        <v>13</v>
      </c>
      <c r="K57" s="4" t="s">
        <v>219</v>
      </c>
      <c r="L57" s="554"/>
      <c r="M57" s="554"/>
      <c r="N57" s="554" t="e">
        <f t="shared" si="3"/>
        <v>#DIV/0!</v>
      </c>
      <c r="P57" s="4">
        <v>5</v>
      </c>
    </row>
    <row r="58" spans="6:16">
      <c r="F58" s="244">
        <f t="shared" si="1"/>
        <v>0.54545454545454553</v>
      </c>
      <c r="G58" s="242">
        <f t="shared" si="2"/>
        <v>4.5454545454545456E-2</v>
      </c>
      <c r="H58" s="4">
        <v>12</v>
      </c>
      <c r="K58" s="4" t="s">
        <v>220</v>
      </c>
      <c r="L58" s="554"/>
      <c r="M58" s="554"/>
      <c r="N58" s="554" t="e">
        <f t="shared" si="3"/>
        <v>#DIV/0!</v>
      </c>
      <c r="P58" s="4">
        <v>4</v>
      </c>
    </row>
    <row r="59" spans="6:16">
      <c r="F59" s="244">
        <f t="shared" si="1"/>
        <v>0.50000000000000011</v>
      </c>
      <c r="G59" s="242">
        <f t="shared" si="2"/>
        <v>4.5454545454545456E-2</v>
      </c>
      <c r="H59" s="4">
        <v>11</v>
      </c>
      <c r="K59" s="4" t="s">
        <v>221</v>
      </c>
      <c r="L59" s="554"/>
      <c r="M59" s="554"/>
      <c r="N59" s="554" t="e">
        <f t="shared" si="3"/>
        <v>#DIV/0!</v>
      </c>
      <c r="P59" s="4">
        <v>3</v>
      </c>
    </row>
    <row r="60" spans="6:16">
      <c r="F60" s="244">
        <f t="shared" si="1"/>
        <v>0.45454545454545464</v>
      </c>
      <c r="G60" s="242">
        <f t="shared" si="2"/>
        <v>4.5454545454545456E-2</v>
      </c>
      <c r="H60" s="4">
        <v>10</v>
      </c>
      <c r="K60" s="4" t="s">
        <v>222</v>
      </c>
      <c r="L60" s="554"/>
      <c r="M60" s="554"/>
      <c r="N60" s="554" t="e">
        <f t="shared" si="3"/>
        <v>#DIV/0!</v>
      </c>
      <c r="P60" s="4">
        <v>2</v>
      </c>
    </row>
    <row r="61" spans="6:16">
      <c r="F61" s="244">
        <f t="shared" si="1"/>
        <v>0.40909090909090917</v>
      </c>
      <c r="G61" s="242">
        <f t="shared" si="2"/>
        <v>4.5454545454545456E-2</v>
      </c>
      <c r="H61" s="4">
        <v>9</v>
      </c>
      <c r="K61" s="4" t="s">
        <v>223</v>
      </c>
      <c r="L61" s="554"/>
      <c r="M61" s="554"/>
      <c r="N61" s="554" t="e">
        <f t="shared" si="3"/>
        <v>#DIV/0!</v>
      </c>
      <c r="P61" s="4">
        <v>1</v>
      </c>
    </row>
    <row r="62" spans="6:16">
      <c r="F62" s="244">
        <f t="shared" si="1"/>
        <v>0.3636363636363637</v>
      </c>
      <c r="G62" s="242">
        <f t="shared" si="2"/>
        <v>4.5454545454545456E-2</v>
      </c>
      <c r="H62" s="4">
        <v>8</v>
      </c>
    </row>
    <row r="63" spans="6:16">
      <c r="F63" s="244">
        <f t="shared" si="1"/>
        <v>0.31818181818181823</v>
      </c>
      <c r="G63" s="242">
        <f t="shared" si="2"/>
        <v>4.5454545454545456E-2</v>
      </c>
      <c r="H63" s="4">
        <v>7</v>
      </c>
    </row>
    <row r="64" spans="6:16">
      <c r="F64" s="244">
        <f t="shared" si="1"/>
        <v>0.27272727272727276</v>
      </c>
      <c r="G64" s="242">
        <f t="shared" si="2"/>
        <v>4.5454545454545456E-2</v>
      </c>
      <c r="H64" s="4">
        <v>6</v>
      </c>
    </row>
    <row r="65" spans="6:8">
      <c r="F65" s="244">
        <f t="shared" si="1"/>
        <v>0.22727272727272729</v>
      </c>
      <c r="G65" s="242">
        <f t="shared" si="2"/>
        <v>4.5454545454545456E-2</v>
      </c>
      <c r="H65" s="4">
        <v>5</v>
      </c>
    </row>
    <row r="66" spans="6:8">
      <c r="F66" s="244">
        <f t="shared" si="1"/>
        <v>0.18181818181818182</v>
      </c>
      <c r="G66" s="242">
        <f t="shared" si="2"/>
        <v>4.5454545454545456E-2</v>
      </c>
      <c r="H66" s="4">
        <v>4</v>
      </c>
    </row>
    <row r="67" spans="6:8">
      <c r="F67" s="244">
        <f t="shared" si="1"/>
        <v>0.13636363636363635</v>
      </c>
      <c r="G67" s="242">
        <f t="shared" si="2"/>
        <v>4.5454545454545456E-2</v>
      </c>
      <c r="H67" s="4">
        <v>3</v>
      </c>
    </row>
    <row r="68" spans="6:8">
      <c r="F68" s="244">
        <f>+G68+F69</f>
        <v>9.0909090909090912E-2</v>
      </c>
      <c r="G68" s="242">
        <f t="shared" si="2"/>
        <v>4.5454545454545456E-2</v>
      </c>
      <c r="H68" s="4">
        <v>2</v>
      </c>
    </row>
    <row r="69" spans="6:8">
      <c r="F69" s="244">
        <f>+G69</f>
        <v>4.5454545454545456E-2</v>
      </c>
      <c r="G69" s="242">
        <f t="shared" si="2"/>
        <v>4.5454545454545456E-2</v>
      </c>
      <c r="H69" s="4">
        <v>1</v>
      </c>
    </row>
  </sheetData>
  <sheetProtection formatCells="0" formatColumns="0" formatRows="0"/>
  <mergeCells count="44">
    <mergeCell ref="A1:J4"/>
    <mergeCell ref="K1:L1"/>
    <mergeCell ref="M1:N1"/>
    <mergeCell ref="K2:L2"/>
    <mergeCell ref="M2:N2"/>
    <mergeCell ref="K3:L3"/>
    <mergeCell ref="M3:N3"/>
    <mergeCell ref="K4:L4"/>
    <mergeCell ref="M4:N4"/>
    <mergeCell ref="B28:F28"/>
    <mergeCell ref="G28:N28"/>
    <mergeCell ref="C6:N6"/>
    <mergeCell ref="C7:N7"/>
    <mergeCell ref="C9:N9"/>
    <mergeCell ref="C12:N12"/>
    <mergeCell ref="A13:B13"/>
    <mergeCell ref="C13:N13"/>
    <mergeCell ref="C14:N14"/>
    <mergeCell ref="C15:N15"/>
    <mergeCell ref="A20:B20"/>
    <mergeCell ref="B27:F27"/>
    <mergeCell ref="G27:N27"/>
    <mergeCell ref="A16:B16"/>
    <mergeCell ref="C16:N16"/>
    <mergeCell ref="B29:F29"/>
    <mergeCell ref="G29:N29"/>
    <mergeCell ref="B30:F30"/>
    <mergeCell ref="G30:N30"/>
    <mergeCell ref="B31:F31"/>
    <mergeCell ref="G31:N31"/>
    <mergeCell ref="B32:F32"/>
    <mergeCell ref="G32:N32"/>
    <mergeCell ref="B33:F33"/>
    <mergeCell ref="G33:N33"/>
    <mergeCell ref="B34:F34"/>
    <mergeCell ref="G34:N34"/>
    <mergeCell ref="B38:F38"/>
    <mergeCell ref="G38:N38"/>
    <mergeCell ref="B35:F35"/>
    <mergeCell ref="G35:N35"/>
    <mergeCell ref="B36:F36"/>
    <mergeCell ref="G36:N36"/>
    <mergeCell ref="B37:F37"/>
    <mergeCell ref="G37:N37"/>
  </mergeCells>
  <hyperlinks>
    <hyperlink ref="O5" location="'Matriz Sta Ana'!A1" display="Volver" xr:uid="{BEAAFF85-7835-466A-B222-3F8C28BA6110}"/>
  </hyperlinks>
  <pageMargins left="0.7" right="0.7" top="0.75" bottom="0.75" header="0.3" footer="0.3"/>
  <pageSetup scale="63" fitToHeight="0" orientation="portrait" r:id="rId1"/>
  <rowBreaks count="1" manualBreakCount="1">
    <brk id="22" max="13" man="1"/>
  </rowBreaks>
  <drawing r:id="rId2"/>
  <legacy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C1B26-C84D-4C03-B450-1AB482F4836E}">
  <sheetPr>
    <tabColor rgb="FFFFFF00"/>
    <pageSetUpPr fitToPage="1"/>
  </sheetPr>
  <dimension ref="A1:AF94"/>
  <sheetViews>
    <sheetView view="pageBreakPreview" topLeftCell="A86" zoomScale="70" zoomScaleNormal="85" zoomScaleSheetLayoutView="70" workbookViewId="0">
      <selection activeCell="B92" sqref="B92:E92"/>
    </sheetView>
  </sheetViews>
  <sheetFormatPr baseColWidth="10" defaultColWidth="11.42578125" defaultRowHeight="15"/>
  <cols>
    <col min="1" max="1" width="28.140625" style="226" bestFit="1" customWidth="1"/>
    <col min="2" max="2" width="19.5703125" style="226" customWidth="1"/>
    <col min="3" max="3" width="7.140625" style="92" customWidth="1"/>
    <col min="4" max="4" width="9.42578125" style="92" customWidth="1"/>
    <col min="5" max="5" width="10.5703125" style="92" bestFit="1" customWidth="1"/>
    <col min="6" max="6" width="16.5703125" style="92" bestFit="1" customWidth="1"/>
    <col min="7" max="7" width="10.5703125" style="92" customWidth="1"/>
    <col min="8" max="8" width="9.85546875" style="92" customWidth="1"/>
    <col min="9" max="9" width="10.140625" style="92" bestFit="1" customWidth="1"/>
    <col min="10" max="11" width="10.42578125" style="92" customWidth="1"/>
    <col min="12" max="12" width="9.85546875" style="92" customWidth="1"/>
    <col min="13" max="13" width="9.5703125" style="92" customWidth="1"/>
    <col min="14" max="14" width="10" style="92" customWidth="1"/>
    <col min="15" max="15" width="10.42578125" style="92" customWidth="1"/>
    <col min="16" max="16" width="9.85546875" style="92" customWidth="1"/>
    <col min="17" max="17" width="10.42578125" style="92" customWidth="1"/>
    <col min="18" max="18" width="10.5703125" style="92" customWidth="1"/>
    <col min="19" max="19" width="10" style="92" bestFit="1" customWidth="1"/>
    <col min="20" max="20" width="10.42578125" style="92" bestFit="1" customWidth="1"/>
    <col min="21" max="21" width="10" style="92" bestFit="1" customWidth="1"/>
    <col min="22" max="22" width="10.42578125" style="92" customWidth="1"/>
    <col min="23" max="24" width="11.85546875" style="92" bestFit="1" customWidth="1"/>
    <col min="25" max="25" width="10.42578125" style="92" bestFit="1" customWidth="1"/>
    <col min="26" max="26" width="12.140625" style="92" customWidth="1"/>
    <col min="27" max="28" width="10.42578125" style="92" bestFit="1" customWidth="1"/>
    <col min="29" max="30" width="9.42578125" style="92" customWidth="1"/>
    <col min="31" max="31" width="6" style="92" customWidth="1"/>
    <col min="32" max="32" width="10.5703125" style="92" customWidth="1"/>
    <col min="33" max="36" width="6" style="92" customWidth="1"/>
    <col min="37" max="16384" width="11.42578125" style="92"/>
  </cols>
  <sheetData>
    <row r="1" spans="1:32" ht="37.5">
      <c r="A1" s="114" t="s">
        <v>148</v>
      </c>
      <c r="G1" s="92" t="s">
        <v>149</v>
      </c>
    </row>
    <row r="2" spans="1:32" ht="16.5">
      <c r="A2" s="707" t="s">
        <v>443</v>
      </c>
      <c r="B2" s="707"/>
      <c r="C2" s="708"/>
      <c r="D2" s="709"/>
      <c r="E2" s="709"/>
      <c r="F2" s="709"/>
      <c r="G2" s="709"/>
      <c r="H2" s="709"/>
      <c r="I2" s="709"/>
      <c r="J2" s="709"/>
      <c r="K2" s="709"/>
      <c r="L2" s="709"/>
      <c r="M2" s="709"/>
      <c r="N2" s="709"/>
    </row>
    <row r="3" spans="1:32">
      <c r="A3" s="92" t="s">
        <v>150</v>
      </c>
      <c r="G3" s="101" t="s">
        <v>151</v>
      </c>
      <c r="H3" s="102"/>
      <c r="I3" s="102"/>
      <c r="J3" s="102"/>
      <c r="K3" s="102"/>
      <c r="L3" s="102"/>
      <c r="M3" s="102"/>
      <c r="N3" s="102"/>
      <c r="O3" s="102"/>
      <c r="P3" s="102"/>
      <c r="Q3" s="102"/>
      <c r="R3" s="102"/>
      <c r="S3" s="102"/>
      <c r="T3" s="103"/>
      <c r="U3" s="103"/>
      <c r="V3" s="103"/>
      <c r="W3" s="103"/>
      <c r="X3" s="103"/>
      <c r="Y3" s="103"/>
      <c r="Z3" s="103"/>
      <c r="AA3" s="103"/>
      <c r="AB3" s="103"/>
      <c r="AC3" s="103"/>
      <c r="AD3" s="94"/>
    </row>
    <row r="4" spans="1:32" s="93" customFormat="1" ht="30">
      <c r="A4" s="117" t="s">
        <v>152</v>
      </c>
      <c r="B4" s="98" t="s">
        <v>153</v>
      </c>
      <c r="C4" s="99" t="s">
        <v>154</v>
      </c>
      <c r="D4" s="99"/>
      <c r="E4" s="100" t="s">
        <v>155</v>
      </c>
      <c r="F4" s="470" t="s">
        <v>156</v>
      </c>
      <c r="G4" s="99" t="s">
        <v>130</v>
      </c>
      <c r="H4" s="99"/>
      <c r="I4" s="99" t="s">
        <v>131</v>
      </c>
      <c r="J4" s="99" t="s">
        <v>131</v>
      </c>
      <c r="K4" s="99" t="s">
        <v>132</v>
      </c>
      <c r="L4" s="99"/>
      <c r="M4" s="99" t="s">
        <v>133</v>
      </c>
      <c r="N4" s="99"/>
      <c r="O4" s="99" t="s">
        <v>134</v>
      </c>
      <c r="P4" s="99"/>
      <c r="Q4" s="99" t="s">
        <v>135</v>
      </c>
      <c r="R4" s="99"/>
      <c r="S4" s="99" t="s">
        <v>136</v>
      </c>
      <c r="T4" s="99"/>
      <c r="U4" s="99" t="s">
        <v>137</v>
      </c>
      <c r="V4" s="99"/>
      <c r="W4" s="99" t="s">
        <v>138</v>
      </c>
      <c r="X4" s="99" t="s">
        <v>138</v>
      </c>
      <c r="Y4" s="99" t="s">
        <v>139</v>
      </c>
      <c r="Z4" s="99"/>
      <c r="AA4" s="99" t="s">
        <v>140</v>
      </c>
      <c r="AB4" s="99"/>
      <c r="AC4" s="99" t="s">
        <v>141</v>
      </c>
      <c r="AD4" s="99"/>
    </row>
    <row r="5" spans="1:32" ht="30" customHeight="1">
      <c r="A5" s="771" t="s">
        <v>538</v>
      </c>
      <c r="B5" s="773" t="s">
        <v>157</v>
      </c>
      <c r="C5" s="776" t="s">
        <v>158</v>
      </c>
      <c r="D5" s="710"/>
      <c r="E5" s="716" t="s">
        <v>15</v>
      </c>
      <c r="F5" s="697"/>
      <c r="G5" s="338" t="s">
        <v>159</v>
      </c>
      <c r="H5" s="339" t="s">
        <v>159</v>
      </c>
      <c r="I5" s="338" t="s">
        <v>159</v>
      </c>
      <c r="J5" s="338" t="s">
        <v>159</v>
      </c>
      <c r="K5" s="338" t="s">
        <v>159</v>
      </c>
      <c r="L5" s="339" t="s">
        <v>159</v>
      </c>
      <c r="M5" s="338" t="s">
        <v>159</v>
      </c>
      <c r="N5" s="339" t="s">
        <v>159</v>
      </c>
      <c r="O5" s="338" t="s">
        <v>159</v>
      </c>
      <c r="P5" s="339" t="s">
        <v>159</v>
      </c>
      <c r="Q5" s="338" t="s">
        <v>159</v>
      </c>
      <c r="R5" s="339" t="s">
        <v>159</v>
      </c>
      <c r="S5" s="338" t="s">
        <v>159</v>
      </c>
      <c r="T5" s="338" t="s">
        <v>159</v>
      </c>
      <c r="U5" s="338" t="s">
        <v>159</v>
      </c>
      <c r="V5" s="338" t="s">
        <v>159</v>
      </c>
      <c r="W5" s="338" t="s">
        <v>159</v>
      </c>
      <c r="X5" s="338" t="s">
        <v>159</v>
      </c>
      <c r="Y5" s="338"/>
      <c r="Z5" s="339"/>
      <c r="AA5" s="338"/>
      <c r="AB5" s="339"/>
      <c r="AC5" s="338"/>
      <c r="AD5" s="339"/>
      <c r="AF5" s="52" t="s">
        <v>120</v>
      </c>
    </row>
    <row r="6" spans="1:32">
      <c r="A6" s="771"/>
      <c r="B6" s="774"/>
      <c r="C6" s="777"/>
      <c r="D6" s="711"/>
      <c r="E6" s="717"/>
      <c r="F6" s="698"/>
      <c r="G6" s="342">
        <f t="shared" ref="G6:L6" si="0">+IF(G5&gt;0,IF(G5&gt;$D5,$F5,0),"")</f>
        <v>0</v>
      </c>
      <c r="H6" s="343">
        <f t="shared" si="0"/>
        <v>0</v>
      </c>
      <c r="I6" s="342">
        <f t="shared" si="0"/>
        <v>0</v>
      </c>
      <c r="J6" s="342">
        <f t="shared" si="0"/>
        <v>0</v>
      </c>
      <c r="K6" s="342">
        <f t="shared" si="0"/>
        <v>0</v>
      </c>
      <c r="L6" s="343">
        <f t="shared" si="0"/>
        <v>0</v>
      </c>
      <c r="M6" s="340">
        <v>0</v>
      </c>
      <c r="N6" s="341">
        <v>0</v>
      </c>
      <c r="O6" s="340">
        <v>0</v>
      </c>
      <c r="P6" s="340">
        <v>0</v>
      </c>
      <c r="Q6" s="340">
        <v>0</v>
      </c>
      <c r="R6" s="341">
        <v>0</v>
      </c>
      <c r="S6" s="340">
        <v>0</v>
      </c>
      <c r="T6" s="340">
        <v>0</v>
      </c>
      <c r="U6" s="340">
        <v>0</v>
      </c>
      <c r="V6" s="340">
        <v>0</v>
      </c>
      <c r="W6" s="340">
        <v>0</v>
      </c>
      <c r="X6" s="340">
        <v>0</v>
      </c>
      <c r="Y6" s="340">
        <v>0</v>
      </c>
      <c r="Z6" s="341">
        <v>0</v>
      </c>
      <c r="AA6" s="340">
        <v>0</v>
      </c>
      <c r="AB6" s="341">
        <v>0</v>
      </c>
      <c r="AC6" s="340">
        <v>0</v>
      </c>
      <c r="AD6" s="341">
        <v>0</v>
      </c>
    </row>
    <row r="7" spans="1:32">
      <c r="A7" s="772"/>
      <c r="B7" s="775"/>
      <c r="C7" s="778"/>
      <c r="D7" s="712"/>
      <c r="E7" s="718"/>
      <c r="F7" s="699"/>
      <c r="G7" s="340" t="str">
        <f t="shared" ref="G7:AD7" si="1">+IF(G6&gt;0,"NC","C")</f>
        <v>C</v>
      </c>
      <c r="H7" s="341" t="str">
        <f t="shared" si="1"/>
        <v>C</v>
      </c>
      <c r="I7" s="340" t="str">
        <f t="shared" si="1"/>
        <v>C</v>
      </c>
      <c r="J7" s="340" t="str">
        <f t="shared" si="1"/>
        <v>C</v>
      </c>
      <c r="K7" s="340" t="str">
        <f t="shared" si="1"/>
        <v>C</v>
      </c>
      <c r="L7" s="341" t="str">
        <f t="shared" si="1"/>
        <v>C</v>
      </c>
      <c r="M7" s="340" t="str">
        <f t="shared" si="1"/>
        <v>C</v>
      </c>
      <c r="N7" s="341" t="str">
        <f t="shared" si="1"/>
        <v>C</v>
      </c>
      <c r="O7" s="340" t="str">
        <f t="shared" si="1"/>
        <v>C</v>
      </c>
      <c r="P7" s="340" t="str">
        <f t="shared" si="1"/>
        <v>C</v>
      </c>
      <c r="Q7" s="340" t="str">
        <f t="shared" si="1"/>
        <v>C</v>
      </c>
      <c r="R7" s="341" t="str">
        <f t="shared" si="1"/>
        <v>C</v>
      </c>
      <c r="S7" s="340" t="str">
        <f t="shared" si="1"/>
        <v>C</v>
      </c>
      <c r="T7" s="340" t="str">
        <f t="shared" ref="T7" si="2">+IF(T6&gt;0,"NC","C")</f>
        <v>C</v>
      </c>
      <c r="U7" s="340" t="str">
        <f t="shared" si="1"/>
        <v>C</v>
      </c>
      <c r="V7" s="340" t="str">
        <f t="shared" si="1"/>
        <v>C</v>
      </c>
      <c r="W7" s="340" t="str">
        <f t="shared" si="1"/>
        <v>C</v>
      </c>
      <c r="X7" s="341" t="str">
        <f t="shared" si="1"/>
        <v>C</v>
      </c>
      <c r="Y7" s="340" t="str">
        <f t="shared" si="1"/>
        <v>C</v>
      </c>
      <c r="Z7" s="341" t="str">
        <f t="shared" si="1"/>
        <v>C</v>
      </c>
      <c r="AA7" s="340" t="str">
        <f t="shared" si="1"/>
        <v>C</v>
      </c>
      <c r="AB7" s="340" t="str">
        <f t="shared" si="1"/>
        <v>C</v>
      </c>
      <c r="AC7" s="340" t="str">
        <f t="shared" si="1"/>
        <v>C</v>
      </c>
      <c r="AD7" s="341" t="str">
        <f t="shared" si="1"/>
        <v>C</v>
      </c>
    </row>
    <row r="8" spans="1:32">
      <c r="A8" s="98" t="s">
        <v>161</v>
      </c>
      <c r="B8" s="471" t="s">
        <v>162</v>
      </c>
      <c r="C8" s="330" t="s">
        <v>163</v>
      </c>
      <c r="D8" s="330"/>
      <c r="E8" s="332" t="s">
        <v>15</v>
      </c>
      <c r="F8" s="331"/>
      <c r="G8" s="338">
        <v>18.600000000000001</v>
      </c>
      <c r="H8" s="339">
        <v>15.7</v>
      </c>
      <c r="I8" s="338">
        <v>18.2</v>
      </c>
      <c r="J8" s="338">
        <v>20.100000000000001</v>
      </c>
      <c r="K8" s="338">
        <v>18.399999999999999</v>
      </c>
      <c r="L8" s="338">
        <v>20.100000000000001</v>
      </c>
      <c r="M8" s="338">
        <v>25.1</v>
      </c>
      <c r="N8" s="339">
        <v>15.9</v>
      </c>
      <c r="O8" s="338">
        <v>18.100000000000001</v>
      </c>
      <c r="P8" s="339">
        <v>18.5</v>
      </c>
      <c r="Q8" s="338">
        <v>17.5</v>
      </c>
      <c r="R8" s="339">
        <v>19.899999999999999</v>
      </c>
      <c r="S8" s="339">
        <v>18.899999999999999</v>
      </c>
      <c r="T8" s="339">
        <v>18.899999999999999</v>
      </c>
      <c r="U8" s="339">
        <v>18.7</v>
      </c>
      <c r="V8" s="339">
        <v>17.3</v>
      </c>
      <c r="W8" s="339">
        <v>17.8</v>
      </c>
      <c r="X8" s="339">
        <v>16</v>
      </c>
      <c r="Y8" s="339"/>
      <c r="Z8" s="339"/>
      <c r="AA8" s="339"/>
      <c r="AB8" s="339"/>
      <c r="AC8" s="339"/>
      <c r="AD8" s="339"/>
    </row>
    <row r="9" spans="1:32">
      <c r="A9" s="115" t="s">
        <v>164</v>
      </c>
      <c r="B9" s="91" t="s">
        <v>165</v>
      </c>
      <c r="C9" s="336"/>
      <c r="D9" s="333"/>
      <c r="E9" s="337"/>
      <c r="F9" s="333"/>
      <c r="G9" s="342">
        <f t="shared" ref="G9:AD9" si="3">+IF(G8&gt;0,IF(G8&gt;$D8,$F8,0),"")</f>
        <v>0</v>
      </c>
      <c r="H9" s="343">
        <f t="shared" si="3"/>
        <v>0</v>
      </c>
      <c r="I9" s="342">
        <f t="shared" si="3"/>
        <v>0</v>
      </c>
      <c r="J9" s="342">
        <f t="shared" si="3"/>
        <v>0</v>
      </c>
      <c r="K9" s="342">
        <f t="shared" si="3"/>
        <v>0</v>
      </c>
      <c r="L9" s="343">
        <f t="shared" si="3"/>
        <v>0</v>
      </c>
      <c r="M9" s="342">
        <f t="shared" si="3"/>
        <v>0</v>
      </c>
      <c r="N9" s="343">
        <f t="shared" si="3"/>
        <v>0</v>
      </c>
      <c r="O9" s="342">
        <f t="shared" si="3"/>
        <v>0</v>
      </c>
      <c r="P9" s="342">
        <f t="shared" si="3"/>
        <v>0</v>
      </c>
      <c r="Q9" s="342">
        <f t="shared" si="3"/>
        <v>0</v>
      </c>
      <c r="R9" s="343">
        <f t="shared" si="3"/>
        <v>0</v>
      </c>
      <c r="S9" s="342">
        <f t="shared" si="3"/>
        <v>0</v>
      </c>
      <c r="T9" s="342">
        <f t="shared" ref="T9" si="4">+IF(T8&gt;0,IF(T8&gt;$D8,$F8,0),"")</f>
        <v>0</v>
      </c>
      <c r="U9" s="342">
        <f t="shared" si="3"/>
        <v>0</v>
      </c>
      <c r="V9" s="342">
        <f t="shared" si="3"/>
        <v>0</v>
      </c>
      <c r="W9" s="342">
        <f t="shared" si="3"/>
        <v>0</v>
      </c>
      <c r="X9" s="343">
        <f t="shared" si="3"/>
        <v>0</v>
      </c>
      <c r="Y9" s="342" t="str">
        <f t="shared" si="3"/>
        <v/>
      </c>
      <c r="Z9" s="343" t="str">
        <f t="shared" si="3"/>
        <v/>
      </c>
      <c r="AA9" s="342" t="str">
        <f t="shared" si="3"/>
        <v/>
      </c>
      <c r="AB9" s="342" t="str">
        <f t="shared" si="3"/>
        <v/>
      </c>
      <c r="AC9" s="342" t="str">
        <f t="shared" si="3"/>
        <v/>
      </c>
      <c r="AD9" s="343" t="str">
        <f t="shared" si="3"/>
        <v/>
      </c>
    </row>
    <row r="10" spans="1:32">
      <c r="A10" s="105"/>
      <c r="B10" s="108"/>
      <c r="C10" s="336"/>
      <c r="D10" s="333"/>
      <c r="E10" s="337"/>
      <c r="F10" s="333"/>
      <c r="G10" s="340" t="str">
        <f t="shared" ref="G10:AD10" si="5">+IF(G9&gt;0,"NC","C")</f>
        <v>C</v>
      </c>
      <c r="H10" s="341" t="str">
        <f t="shared" si="5"/>
        <v>C</v>
      </c>
      <c r="I10" s="340" t="str">
        <f t="shared" si="5"/>
        <v>C</v>
      </c>
      <c r="J10" s="340" t="str">
        <f t="shared" si="5"/>
        <v>C</v>
      </c>
      <c r="K10" s="340" t="str">
        <f t="shared" si="5"/>
        <v>C</v>
      </c>
      <c r="L10" s="341" t="str">
        <f t="shared" si="5"/>
        <v>C</v>
      </c>
      <c r="M10" s="341" t="str">
        <f t="shared" si="5"/>
        <v>C</v>
      </c>
      <c r="N10" s="341" t="str">
        <f t="shared" si="5"/>
        <v>C</v>
      </c>
      <c r="O10" s="341" t="str">
        <f t="shared" si="5"/>
        <v>C</v>
      </c>
      <c r="P10" s="341" t="str">
        <f t="shared" si="5"/>
        <v>C</v>
      </c>
      <c r="Q10" s="341" t="str">
        <f t="shared" si="5"/>
        <v>C</v>
      </c>
      <c r="R10" s="341" t="str">
        <f t="shared" si="5"/>
        <v>C</v>
      </c>
      <c r="S10" s="341" t="str">
        <f t="shared" si="5"/>
        <v>C</v>
      </c>
      <c r="T10" s="341" t="str">
        <f t="shared" ref="T10" si="6">+IF(T9&gt;0,"NC","C")</f>
        <v>C</v>
      </c>
      <c r="U10" s="341" t="str">
        <f t="shared" si="5"/>
        <v>C</v>
      </c>
      <c r="V10" s="341" t="str">
        <f t="shared" si="5"/>
        <v>C</v>
      </c>
      <c r="W10" s="341" t="str">
        <f t="shared" si="5"/>
        <v>C</v>
      </c>
      <c r="X10" s="341" t="str">
        <f t="shared" si="5"/>
        <v>C</v>
      </c>
      <c r="Y10" s="341" t="str">
        <f t="shared" si="5"/>
        <v>NC</v>
      </c>
      <c r="Z10" s="341" t="str">
        <f t="shared" si="5"/>
        <v>NC</v>
      </c>
      <c r="AA10" s="341" t="str">
        <f t="shared" si="5"/>
        <v>NC</v>
      </c>
      <c r="AB10" s="341" t="str">
        <f t="shared" si="5"/>
        <v>NC</v>
      </c>
      <c r="AC10" s="341" t="str">
        <f t="shared" si="5"/>
        <v>NC</v>
      </c>
      <c r="AD10" s="341" t="str">
        <f t="shared" si="5"/>
        <v>NC</v>
      </c>
    </row>
    <row r="11" spans="1:32" ht="30">
      <c r="A11" s="115" t="s">
        <v>168</v>
      </c>
      <c r="B11" s="107" t="s">
        <v>169</v>
      </c>
      <c r="C11" s="334" t="s">
        <v>167</v>
      </c>
      <c r="D11" s="335">
        <v>15</v>
      </c>
      <c r="E11" s="332" t="s">
        <v>15</v>
      </c>
      <c r="F11" s="335">
        <v>6</v>
      </c>
      <c r="G11" s="48">
        <v>14.7</v>
      </c>
      <c r="H11" s="79">
        <v>14.4</v>
      </c>
      <c r="I11" s="48">
        <v>5</v>
      </c>
      <c r="J11" s="48">
        <v>14.4</v>
      </c>
      <c r="K11" s="48">
        <v>7.1</v>
      </c>
      <c r="L11" s="48">
        <v>13.7</v>
      </c>
      <c r="M11" s="79">
        <v>10.7</v>
      </c>
      <c r="N11" s="79">
        <v>10.3</v>
      </c>
      <c r="O11" s="48">
        <v>7.8</v>
      </c>
      <c r="P11" s="79">
        <v>5</v>
      </c>
      <c r="Q11" s="48">
        <v>5</v>
      </c>
      <c r="R11" s="79">
        <v>7.3</v>
      </c>
      <c r="S11" s="48">
        <v>5</v>
      </c>
      <c r="T11" s="48">
        <v>5</v>
      </c>
      <c r="U11" s="48">
        <v>10</v>
      </c>
      <c r="V11" s="79">
        <v>7.2</v>
      </c>
      <c r="W11" s="48">
        <v>10.7</v>
      </c>
      <c r="X11" s="48">
        <v>11.4</v>
      </c>
      <c r="Y11" s="48"/>
      <c r="Z11" s="79"/>
      <c r="AA11" s="48"/>
      <c r="AB11" s="79"/>
      <c r="AC11" s="48"/>
      <c r="AD11" s="79"/>
    </row>
    <row r="12" spans="1:32">
      <c r="A12" s="110"/>
      <c r="B12" s="112"/>
      <c r="C12" s="336"/>
      <c r="D12" s="333"/>
      <c r="E12" s="337"/>
      <c r="F12" s="333"/>
      <c r="G12" s="342">
        <f t="shared" ref="G12:AD12" si="7">+IF(G11&gt;0,IF(G11&gt;$D11,$F11,0),"")</f>
        <v>0</v>
      </c>
      <c r="H12" s="343">
        <f t="shared" si="7"/>
        <v>0</v>
      </c>
      <c r="I12" s="342">
        <f t="shared" si="7"/>
        <v>0</v>
      </c>
      <c r="J12" s="342">
        <f t="shared" si="7"/>
        <v>0</v>
      </c>
      <c r="K12" s="342">
        <f t="shared" si="7"/>
        <v>0</v>
      </c>
      <c r="L12" s="343">
        <f t="shared" si="7"/>
        <v>0</v>
      </c>
      <c r="M12" s="343">
        <f t="shared" si="7"/>
        <v>0</v>
      </c>
      <c r="N12" s="343">
        <f t="shared" si="7"/>
        <v>0</v>
      </c>
      <c r="O12" s="343">
        <f t="shared" si="7"/>
        <v>0</v>
      </c>
      <c r="P12" s="343">
        <f t="shared" si="7"/>
        <v>0</v>
      </c>
      <c r="Q12" s="343">
        <f t="shared" si="7"/>
        <v>0</v>
      </c>
      <c r="R12" s="343">
        <f t="shared" si="7"/>
        <v>0</v>
      </c>
      <c r="S12" s="343">
        <f t="shared" si="7"/>
        <v>0</v>
      </c>
      <c r="T12" s="343">
        <f t="shared" ref="T12" si="8">+IF(T11&gt;0,IF(T11&gt;$D11,$F11,0),"")</f>
        <v>0</v>
      </c>
      <c r="U12" s="343">
        <f t="shared" si="7"/>
        <v>0</v>
      </c>
      <c r="V12" s="343">
        <f t="shared" si="7"/>
        <v>0</v>
      </c>
      <c r="W12" s="343">
        <f t="shared" si="7"/>
        <v>0</v>
      </c>
      <c r="X12" s="343">
        <f t="shared" si="7"/>
        <v>0</v>
      </c>
      <c r="Y12" s="343" t="str">
        <f t="shared" si="7"/>
        <v/>
      </c>
      <c r="Z12" s="343" t="str">
        <f t="shared" si="7"/>
        <v/>
      </c>
      <c r="AA12" s="343" t="str">
        <f t="shared" si="7"/>
        <v/>
      </c>
      <c r="AB12" s="343" t="str">
        <f t="shared" si="7"/>
        <v/>
      </c>
      <c r="AC12" s="343" t="str">
        <f t="shared" si="7"/>
        <v/>
      </c>
      <c r="AD12" s="343" t="str">
        <f t="shared" si="7"/>
        <v/>
      </c>
    </row>
    <row r="13" spans="1:32">
      <c r="A13" s="110"/>
      <c r="B13" s="112"/>
      <c r="C13" s="336"/>
      <c r="D13" s="333"/>
      <c r="E13" s="337"/>
      <c r="F13" s="333"/>
      <c r="G13" s="340" t="str">
        <f t="shared" ref="G13:AD13" si="9">+IF(G12&gt;0,"NC","C")</f>
        <v>C</v>
      </c>
      <c r="H13" s="341" t="str">
        <f t="shared" si="9"/>
        <v>C</v>
      </c>
      <c r="I13" s="340" t="str">
        <f t="shared" si="9"/>
        <v>C</v>
      </c>
      <c r="J13" s="340" t="str">
        <f t="shared" si="9"/>
        <v>C</v>
      </c>
      <c r="K13" s="340" t="str">
        <f t="shared" si="9"/>
        <v>C</v>
      </c>
      <c r="L13" s="341" t="str">
        <f t="shared" si="9"/>
        <v>C</v>
      </c>
      <c r="M13" s="341" t="str">
        <f t="shared" si="9"/>
        <v>C</v>
      </c>
      <c r="N13" s="341" t="str">
        <f t="shared" si="9"/>
        <v>C</v>
      </c>
      <c r="O13" s="341" t="str">
        <f t="shared" si="9"/>
        <v>C</v>
      </c>
      <c r="P13" s="341" t="str">
        <f t="shared" si="9"/>
        <v>C</v>
      </c>
      <c r="Q13" s="341" t="str">
        <f t="shared" si="9"/>
        <v>C</v>
      </c>
      <c r="R13" s="341" t="str">
        <f t="shared" si="9"/>
        <v>C</v>
      </c>
      <c r="S13" s="341" t="str">
        <f t="shared" si="9"/>
        <v>C</v>
      </c>
      <c r="T13" s="341" t="str">
        <f t="shared" ref="T13" si="10">+IF(T12&gt;0,"NC","C")</f>
        <v>C</v>
      </c>
      <c r="U13" s="341" t="str">
        <f t="shared" si="9"/>
        <v>C</v>
      </c>
      <c r="V13" s="341" t="str">
        <f t="shared" si="9"/>
        <v>C</v>
      </c>
      <c r="W13" s="341" t="str">
        <f t="shared" si="9"/>
        <v>C</v>
      </c>
      <c r="X13" s="341" t="str">
        <f t="shared" si="9"/>
        <v>C</v>
      </c>
      <c r="Y13" s="341" t="str">
        <f t="shared" si="9"/>
        <v>NC</v>
      </c>
      <c r="Z13" s="341" t="str">
        <f t="shared" si="9"/>
        <v>NC</v>
      </c>
      <c r="AA13" s="341" t="str">
        <f t="shared" si="9"/>
        <v>NC</v>
      </c>
      <c r="AB13" s="341" t="str">
        <f t="shared" si="9"/>
        <v>NC</v>
      </c>
      <c r="AC13" s="341" t="str">
        <f t="shared" si="9"/>
        <v>NC</v>
      </c>
      <c r="AD13" s="341" t="str">
        <f t="shared" si="9"/>
        <v>NC</v>
      </c>
    </row>
    <row r="14" spans="1:32" ht="45">
      <c r="A14" s="115" t="s">
        <v>170</v>
      </c>
      <c r="B14" s="107" t="s">
        <v>171</v>
      </c>
      <c r="C14" s="334" t="s">
        <v>167</v>
      </c>
      <c r="D14" s="335">
        <v>2</v>
      </c>
      <c r="E14" s="332" t="s">
        <v>15</v>
      </c>
      <c r="F14" s="335">
        <v>15</v>
      </c>
      <c r="G14" s="48">
        <v>1</v>
      </c>
      <c r="H14" s="79">
        <v>1</v>
      </c>
      <c r="I14" s="48">
        <v>1</v>
      </c>
      <c r="J14" s="79">
        <v>1</v>
      </c>
      <c r="K14" s="79">
        <v>1</v>
      </c>
      <c r="L14" s="79">
        <v>1.3</v>
      </c>
      <c r="M14" s="79">
        <v>1.8</v>
      </c>
      <c r="N14" s="79">
        <v>1.2</v>
      </c>
      <c r="O14" s="48">
        <v>1.8</v>
      </c>
      <c r="P14" s="79">
        <v>1.2</v>
      </c>
      <c r="Q14" s="48">
        <v>1</v>
      </c>
      <c r="R14" s="79">
        <v>1.5</v>
      </c>
      <c r="S14" s="48">
        <v>1</v>
      </c>
      <c r="T14" s="48">
        <v>1</v>
      </c>
      <c r="U14" s="48">
        <v>1</v>
      </c>
      <c r="V14" s="79">
        <v>1</v>
      </c>
      <c r="W14" s="48">
        <v>1</v>
      </c>
      <c r="X14" s="48">
        <v>1</v>
      </c>
      <c r="Y14" s="48"/>
      <c r="Z14" s="79"/>
      <c r="AA14" s="48"/>
      <c r="AB14" s="79"/>
      <c r="AC14" s="48"/>
      <c r="AD14" s="79"/>
    </row>
    <row r="15" spans="1:32">
      <c r="A15" s="110"/>
      <c r="B15" s="112"/>
      <c r="C15" s="336"/>
      <c r="D15" s="333"/>
      <c r="E15" s="337"/>
      <c r="F15" s="333"/>
      <c r="G15" s="342">
        <f t="shared" ref="G15:AD15" si="11">+IF(G14&gt;0,IF(G14&gt;$D14,$F14,0),"")</f>
        <v>0</v>
      </c>
      <c r="H15" s="343">
        <f t="shared" si="11"/>
        <v>0</v>
      </c>
      <c r="I15" s="342">
        <f t="shared" si="11"/>
        <v>0</v>
      </c>
      <c r="J15" s="342">
        <f t="shared" si="11"/>
        <v>0</v>
      </c>
      <c r="K15" s="342">
        <f t="shared" si="11"/>
        <v>0</v>
      </c>
      <c r="L15" s="343">
        <f t="shared" si="11"/>
        <v>0</v>
      </c>
      <c r="M15" s="343">
        <f t="shared" si="11"/>
        <v>0</v>
      </c>
      <c r="N15" s="343">
        <f t="shared" si="11"/>
        <v>0</v>
      </c>
      <c r="O15" s="343">
        <f t="shared" si="11"/>
        <v>0</v>
      </c>
      <c r="P15" s="343">
        <f t="shared" si="11"/>
        <v>0</v>
      </c>
      <c r="Q15" s="343">
        <f t="shared" si="11"/>
        <v>0</v>
      </c>
      <c r="R15" s="343">
        <f t="shared" si="11"/>
        <v>0</v>
      </c>
      <c r="S15" s="343">
        <f t="shared" si="11"/>
        <v>0</v>
      </c>
      <c r="T15" s="343">
        <f t="shared" ref="T15" si="12">+IF(T14&gt;0,IF(T14&gt;$D14,$F14,0),"")</f>
        <v>0</v>
      </c>
      <c r="U15" s="343">
        <f t="shared" si="11"/>
        <v>0</v>
      </c>
      <c r="V15" s="343">
        <f t="shared" si="11"/>
        <v>0</v>
      </c>
      <c r="W15" s="343">
        <f t="shared" si="11"/>
        <v>0</v>
      </c>
      <c r="X15" s="343">
        <f t="shared" si="11"/>
        <v>0</v>
      </c>
      <c r="Y15" s="343" t="str">
        <f t="shared" si="11"/>
        <v/>
      </c>
      <c r="Z15" s="343" t="str">
        <f t="shared" si="11"/>
        <v/>
      </c>
      <c r="AA15" s="343" t="str">
        <f t="shared" si="11"/>
        <v/>
      </c>
      <c r="AB15" s="343" t="str">
        <f t="shared" si="11"/>
        <v/>
      </c>
      <c r="AC15" s="343" t="str">
        <f t="shared" si="11"/>
        <v/>
      </c>
      <c r="AD15" s="343" t="str">
        <f t="shared" si="11"/>
        <v/>
      </c>
    </row>
    <row r="16" spans="1:32">
      <c r="A16" s="110"/>
      <c r="B16" s="112"/>
      <c r="C16" s="336"/>
      <c r="D16" s="333"/>
      <c r="E16" s="337"/>
      <c r="F16" s="333"/>
      <c r="G16" s="340" t="str">
        <f t="shared" ref="G16:AD16" si="13">+IF(G15&gt;0,"NC","C")</f>
        <v>C</v>
      </c>
      <c r="H16" s="341" t="str">
        <f t="shared" si="13"/>
        <v>C</v>
      </c>
      <c r="I16" s="340" t="str">
        <f t="shared" si="13"/>
        <v>C</v>
      </c>
      <c r="J16" s="340" t="str">
        <f t="shared" si="13"/>
        <v>C</v>
      </c>
      <c r="K16" s="340" t="str">
        <f t="shared" si="13"/>
        <v>C</v>
      </c>
      <c r="L16" s="341" t="str">
        <f t="shared" si="13"/>
        <v>C</v>
      </c>
      <c r="M16" s="341" t="str">
        <f t="shared" si="13"/>
        <v>C</v>
      </c>
      <c r="N16" s="341" t="str">
        <f t="shared" si="13"/>
        <v>C</v>
      </c>
      <c r="O16" s="341" t="str">
        <f t="shared" si="13"/>
        <v>C</v>
      </c>
      <c r="P16" s="341" t="str">
        <f t="shared" si="13"/>
        <v>C</v>
      </c>
      <c r="Q16" s="341" t="str">
        <f t="shared" si="13"/>
        <v>C</v>
      </c>
      <c r="R16" s="341" t="str">
        <f t="shared" si="13"/>
        <v>C</v>
      </c>
      <c r="S16" s="341" t="str">
        <f t="shared" si="13"/>
        <v>C</v>
      </c>
      <c r="T16" s="341" t="str">
        <f t="shared" ref="T16" si="14">+IF(T15&gt;0,"NC","C")</f>
        <v>C</v>
      </c>
      <c r="U16" s="341" t="str">
        <f t="shared" si="13"/>
        <v>C</v>
      </c>
      <c r="V16" s="341" t="str">
        <f t="shared" si="13"/>
        <v>C</v>
      </c>
      <c r="W16" s="341" t="str">
        <f t="shared" si="13"/>
        <v>C</v>
      </c>
      <c r="X16" s="341" t="str">
        <f t="shared" si="13"/>
        <v>C</v>
      </c>
      <c r="Y16" s="341" t="str">
        <f t="shared" si="13"/>
        <v>NC</v>
      </c>
      <c r="Z16" s="341" t="str">
        <f t="shared" si="13"/>
        <v>NC</v>
      </c>
      <c r="AA16" s="341" t="str">
        <f t="shared" si="13"/>
        <v>NC</v>
      </c>
      <c r="AB16" s="341" t="str">
        <f t="shared" si="13"/>
        <v>NC</v>
      </c>
      <c r="AC16" s="341" t="str">
        <f t="shared" si="13"/>
        <v>NC</v>
      </c>
      <c r="AD16" s="341" t="str">
        <f t="shared" si="13"/>
        <v>NC</v>
      </c>
    </row>
    <row r="17" spans="1:30">
      <c r="A17" s="115" t="s">
        <v>315</v>
      </c>
      <c r="B17" s="107" t="s">
        <v>172</v>
      </c>
      <c r="C17" s="334" t="s">
        <v>173</v>
      </c>
      <c r="D17" s="335" t="s">
        <v>174</v>
      </c>
      <c r="E17" s="332" t="s">
        <v>15</v>
      </c>
      <c r="F17" s="335">
        <v>1.5</v>
      </c>
      <c r="G17" s="46">
        <v>7.12</v>
      </c>
      <c r="H17" s="47">
        <v>7.18</v>
      </c>
      <c r="I17" s="46">
        <v>7.22</v>
      </c>
      <c r="J17" s="46">
        <v>7.45</v>
      </c>
      <c r="K17" s="46">
        <v>7.53</v>
      </c>
      <c r="L17" s="47">
        <v>7.33</v>
      </c>
      <c r="M17" s="46">
        <v>7.11</v>
      </c>
      <c r="N17" s="47">
        <v>6.9</v>
      </c>
      <c r="O17" s="46">
        <v>6.89</v>
      </c>
      <c r="P17" s="47">
        <v>7.28</v>
      </c>
      <c r="Q17" s="46">
        <v>7.51</v>
      </c>
      <c r="R17" s="47">
        <v>7.23</v>
      </c>
      <c r="S17" s="46">
        <v>7.49</v>
      </c>
      <c r="T17" s="46">
        <v>7.49</v>
      </c>
      <c r="U17" s="46">
        <v>6.85</v>
      </c>
      <c r="V17" s="47">
        <v>7.79</v>
      </c>
      <c r="W17" s="46">
        <v>6.86</v>
      </c>
      <c r="X17" s="46">
        <v>7.14</v>
      </c>
      <c r="Y17" s="46"/>
      <c r="Z17" s="47"/>
      <c r="AA17" s="46"/>
      <c r="AB17" s="47"/>
      <c r="AC17" s="46"/>
      <c r="AD17" s="47"/>
    </row>
    <row r="18" spans="1:30">
      <c r="A18" s="110"/>
      <c r="B18" s="112"/>
      <c r="C18" s="336"/>
      <c r="D18" s="333"/>
      <c r="E18" s="337"/>
      <c r="F18" s="333"/>
      <c r="G18" s="342">
        <f t="shared" ref="G18:AD18" si="15">+IF(G17&gt;0,IF(AND(G17&gt;6.499999999,G17&lt;9.000001),0,$F17),"")</f>
        <v>0</v>
      </c>
      <c r="H18" s="343">
        <f t="shared" si="15"/>
        <v>0</v>
      </c>
      <c r="I18" s="342">
        <f t="shared" si="15"/>
        <v>0</v>
      </c>
      <c r="J18" s="342">
        <f t="shared" si="15"/>
        <v>0</v>
      </c>
      <c r="K18" s="342">
        <f t="shared" si="15"/>
        <v>0</v>
      </c>
      <c r="L18" s="343">
        <f t="shared" si="15"/>
        <v>0</v>
      </c>
      <c r="M18" s="343">
        <f t="shared" si="15"/>
        <v>0</v>
      </c>
      <c r="N18" s="343">
        <f t="shared" si="15"/>
        <v>0</v>
      </c>
      <c r="O18" s="343">
        <f t="shared" si="15"/>
        <v>0</v>
      </c>
      <c r="P18" s="343">
        <f t="shared" si="15"/>
        <v>0</v>
      </c>
      <c r="Q18" s="343">
        <f t="shared" si="15"/>
        <v>0</v>
      </c>
      <c r="R18" s="343">
        <f t="shared" si="15"/>
        <v>0</v>
      </c>
      <c r="S18" s="343">
        <f t="shared" si="15"/>
        <v>0</v>
      </c>
      <c r="T18" s="343">
        <f t="shared" ref="T18" si="16">+IF(T17&gt;0,IF(AND(T17&gt;6.499999999,T17&lt;9.000001),0,$F17),"")</f>
        <v>0</v>
      </c>
      <c r="U18" s="343">
        <f t="shared" si="15"/>
        <v>0</v>
      </c>
      <c r="V18" s="343">
        <f t="shared" si="15"/>
        <v>0</v>
      </c>
      <c r="W18" s="343">
        <f t="shared" si="15"/>
        <v>0</v>
      </c>
      <c r="X18" s="343">
        <f t="shared" si="15"/>
        <v>0</v>
      </c>
      <c r="Y18" s="343" t="str">
        <f t="shared" si="15"/>
        <v/>
      </c>
      <c r="Z18" s="343" t="str">
        <f t="shared" si="15"/>
        <v/>
      </c>
      <c r="AA18" s="343" t="str">
        <f t="shared" si="15"/>
        <v/>
      </c>
      <c r="AB18" s="343" t="str">
        <f t="shared" si="15"/>
        <v/>
      </c>
      <c r="AC18" s="343" t="str">
        <f t="shared" si="15"/>
        <v/>
      </c>
      <c r="AD18" s="343" t="str">
        <f t="shared" si="15"/>
        <v/>
      </c>
    </row>
    <row r="19" spans="1:30">
      <c r="A19" s="110"/>
      <c r="B19" s="112"/>
      <c r="C19" s="336"/>
      <c r="D19" s="333"/>
      <c r="E19" s="337"/>
      <c r="F19" s="333"/>
      <c r="G19" s="340" t="str">
        <f t="shared" ref="G19:AD19" si="17">+IF(G18&gt;0,"NC","C")</f>
        <v>C</v>
      </c>
      <c r="H19" s="340" t="str">
        <f t="shared" si="17"/>
        <v>C</v>
      </c>
      <c r="I19" s="340" t="str">
        <f t="shared" si="17"/>
        <v>C</v>
      </c>
      <c r="J19" s="340" t="str">
        <f t="shared" si="17"/>
        <v>C</v>
      </c>
      <c r="K19" s="340" t="str">
        <f t="shared" si="17"/>
        <v>C</v>
      </c>
      <c r="L19" s="341" t="str">
        <f t="shared" si="17"/>
        <v>C</v>
      </c>
      <c r="M19" s="341" t="str">
        <f t="shared" si="17"/>
        <v>C</v>
      </c>
      <c r="N19" s="341" t="str">
        <f t="shared" si="17"/>
        <v>C</v>
      </c>
      <c r="O19" s="341" t="str">
        <f t="shared" si="17"/>
        <v>C</v>
      </c>
      <c r="P19" s="341" t="str">
        <f t="shared" si="17"/>
        <v>C</v>
      </c>
      <c r="Q19" s="341" t="str">
        <f t="shared" si="17"/>
        <v>C</v>
      </c>
      <c r="R19" s="341" t="str">
        <f t="shared" si="17"/>
        <v>C</v>
      </c>
      <c r="S19" s="341" t="str">
        <f t="shared" si="17"/>
        <v>C</v>
      </c>
      <c r="T19" s="341" t="str">
        <f t="shared" ref="T19" si="18">+IF(T18&gt;0,"NC","C")</f>
        <v>C</v>
      </c>
      <c r="U19" s="341" t="str">
        <f t="shared" si="17"/>
        <v>C</v>
      </c>
      <c r="V19" s="341" t="str">
        <f t="shared" si="17"/>
        <v>C</v>
      </c>
      <c r="W19" s="341" t="str">
        <f t="shared" si="17"/>
        <v>C</v>
      </c>
      <c r="X19" s="341" t="str">
        <f t="shared" si="17"/>
        <v>C</v>
      </c>
      <c r="Y19" s="341" t="str">
        <f t="shared" si="17"/>
        <v>NC</v>
      </c>
      <c r="Z19" s="341" t="str">
        <f t="shared" si="17"/>
        <v>NC</v>
      </c>
      <c r="AA19" s="341" t="str">
        <f t="shared" si="17"/>
        <v>NC</v>
      </c>
      <c r="AB19" s="341" t="str">
        <f t="shared" si="17"/>
        <v>NC</v>
      </c>
      <c r="AC19" s="341" t="str">
        <f t="shared" si="17"/>
        <v>NC</v>
      </c>
      <c r="AD19" s="341" t="str">
        <f t="shared" si="17"/>
        <v>NC</v>
      </c>
    </row>
    <row r="20" spans="1:30">
      <c r="A20" s="115" t="s">
        <v>175</v>
      </c>
      <c r="B20" s="107"/>
      <c r="C20" s="334" t="s">
        <v>167</v>
      </c>
      <c r="D20" s="335">
        <v>5</v>
      </c>
      <c r="E20" s="332" t="s">
        <v>15</v>
      </c>
      <c r="F20" s="335">
        <v>3</v>
      </c>
      <c r="G20" s="44">
        <v>2</v>
      </c>
      <c r="H20" s="45">
        <v>2</v>
      </c>
      <c r="I20" s="44">
        <v>2</v>
      </c>
      <c r="J20" s="44">
        <v>2</v>
      </c>
      <c r="K20" s="44">
        <v>2</v>
      </c>
      <c r="L20" s="45">
        <v>2</v>
      </c>
      <c r="M20" s="44">
        <v>2</v>
      </c>
      <c r="N20" s="45">
        <v>2</v>
      </c>
      <c r="O20" s="44">
        <v>2</v>
      </c>
      <c r="P20" s="45">
        <v>2</v>
      </c>
      <c r="Q20" s="44">
        <v>2</v>
      </c>
      <c r="R20" s="45">
        <v>2</v>
      </c>
      <c r="S20" s="44">
        <v>2</v>
      </c>
      <c r="T20" s="44">
        <v>2</v>
      </c>
      <c r="U20" s="46">
        <v>2</v>
      </c>
      <c r="V20" s="45">
        <v>2</v>
      </c>
      <c r="W20" s="44">
        <v>2</v>
      </c>
      <c r="X20" s="44">
        <v>2</v>
      </c>
      <c r="Y20" s="44"/>
      <c r="Z20" s="44"/>
      <c r="AA20" s="44"/>
      <c r="AB20" s="44"/>
      <c r="AC20" s="44"/>
      <c r="AD20" s="45"/>
    </row>
    <row r="21" spans="1:30">
      <c r="A21" s="110"/>
      <c r="B21" s="112"/>
      <c r="C21" s="336"/>
      <c r="D21" s="333"/>
      <c r="E21" s="337"/>
      <c r="F21" s="333"/>
      <c r="G21" s="342">
        <f>+IF(G20&gt;0,IF(G20&gt;$D20,$F20,0),"")</f>
        <v>0</v>
      </c>
      <c r="H21" s="343">
        <f>+IF(H20&gt;0,IF(H20&gt;$D20,$F20,0),"")</f>
        <v>0</v>
      </c>
      <c r="I21" s="342">
        <v>0</v>
      </c>
      <c r="J21" s="342">
        <v>0</v>
      </c>
      <c r="K21" s="342">
        <v>0</v>
      </c>
      <c r="L21" s="343">
        <v>0</v>
      </c>
      <c r="M21" s="343">
        <v>0</v>
      </c>
      <c r="N21" s="343">
        <v>0</v>
      </c>
      <c r="O21" s="343">
        <v>0</v>
      </c>
      <c r="P21" s="343">
        <v>0</v>
      </c>
      <c r="Q21" s="343">
        <v>0</v>
      </c>
      <c r="R21" s="343">
        <v>0</v>
      </c>
      <c r="S21" s="343">
        <v>0</v>
      </c>
      <c r="T21" s="343">
        <v>0</v>
      </c>
      <c r="U21" s="343">
        <v>0</v>
      </c>
      <c r="V21" s="343">
        <v>0</v>
      </c>
      <c r="W21" s="343">
        <v>0</v>
      </c>
      <c r="X21" s="343">
        <v>0</v>
      </c>
      <c r="Y21" s="343">
        <v>0</v>
      </c>
      <c r="Z21" s="343">
        <v>0</v>
      </c>
      <c r="AA21" s="343">
        <v>0</v>
      </c>
      <c r="AB21" s="343">
        <v>0</v>
      </c>
      <c r="AC21" s="343">
        <v>0</v>
      </c>
      <c r="AD21" s="343">
        <v>0</v>
      </c>
    </row>
    <row r="22" spans="1:30">
      <c r="A22" s="110"/>
      <c r="B22" s="112"/>
      <c r="C22" s="336"/>
      <c r="D22" s="333"/>
      <c r="E22" s="337"/>
      <c r="F22" s="333"/>
      <c r="G22" s="340" t="str">
        <f t="shared" ref="G22:AD22" si="19">+IF(G21&gt;0,"NC","C")</f>
        <v>C</v>
      </c>
      <c r="H22" s="341" t="str">
        <f t="shared" si="19"/>
        <v>C</v>
      </c>
      <c r="I22" s="340" t="str">
        <f t="shared" si="19"/>
        <v>C</v>
      </c>
      <c r="J22" s="340" t="str">
        <f t="shared" si="19"/>
        <v>C</v>
      </c>
      <c r="K22" s="340" t="str">
        <f t="shared" si="19"/>
        <v>C</v>
      </c>
      <c r="L22" s="341" t="str">
        <f t="shared" si="19"/>
        <v>C</v>
      </c>
      <c r="M22" s="341" t="str">
        <f t="shared" si="19"/>
        <v>C</v>
      </c>
      <c r="N22" s="341" t="str">
        <f t="shared" si="19"/>
        <v>C</v>
      </c>
      <c r="O22" s="341" t="str">
        <f t="shared" si="19"/>
        <v>C</v>
      </c>
      <c r="P22" s="341" t="str">
        <f t="shared" si="19"/>
        <v>C</v>
      </c>
      <c r="Q22" s="341" t="str">
        <f t="shared" si="19"/>
        <v>C</v>
      </c>
      <c r="R22" s="341" t="str">
        <f t="shared" si="19"/>
        <v>C</v>
      </c>
      <c r="S22" s="341" t="str">
        <f t="shared" si="19"/>
        <v>C</v>
      </c>
      <c r="T22" s="341" t="str">
        <f t="shared" ref="T22" si="20">+IF(T21&gt;0,"NC","C")</f>
        <v>C</v>
      </c>
      <c r="U22" s="341" t="str">
        <f t="shared" si="19"/>
        <v>C</v>
      </c>
      <c r="V22" s="341" t="str">
        <f t="shared" si="19"/>
        <v>C</v>
      </c>
      <c r="W22" s="341" t="str">
        <f t="shared" si="19"/>
        <v>C</v>
      </c>
      <c r="X22" s="341" t="str">
        <f t="shared" si="19"/>
        <v>C</v>
      </c>
      <c r="Y22" s="341" t="str">
        <f t="shared" si="19"/>
        <v>C</v>
      </c>
      <c r="Z22" s="341" t="str">
        <f t="shared" si="19"/>
        <v>C</v>
      </c>
      <c r="AA22" s="341" t="str">
        <f t="shared" si="19"/>
        <v>C</v>
      </c>
      <c r="AB22" s="341" t="str">
        <f t="shared" si="19"/>
        <v>C</v>
      </c>
      <c r="AC22" s="341" t="str">
        <f t="shared" si="19"/>
        <v>C</v>
      </c>
      <c r="AD22" s="341" t="str">
        <f t="shared" si="19"/>
        <v>C</v>
      </c>
    </row>
    <row r="23" spans="1:30">
      <c r="A23" s="115" t="s">
        <v>176</v>
      </c>
      <c r="B23" s="107" t="s">
        <v>166</v>
      </c>
      <c r="C23" s="334" t="s">
        <v>167</v>
      </c>
      <c r="D23" s="335">
        <v>0.1</v>
      </c>
      <c r="E23" s="332" t="s">
        <v>15</v>
      </c>
      <c r="F23" s="335">
        <v>3</v>
      </c>
      <c r="G23" s="46">
        <v>0.05</v>
      </c>
      <c r="H23" s="45">
        <v>0.05</v>
      </c>
      <c r="I23" s="45">
        <v>0.05</v>
      </c>
      <c r="J23" s="45">
        <v>0.05</v>
      </c>
      <c r="K23" s="45">
        <v>0.05</v>
      </c>
      <c r="L23" s="45">
        <v>0.05</v>
      </c>
      <c r="M23" s="45">
        <v>0.05</v>
      </c>
      <c r="N23" s="45">
        <v>0.05</v>
      </c>
      <c r="O23" s="45">
        <v>0.05</v>
      </c>
      <c r="P23" s="45">
        <v>0.05</v>
      </c>
      <c r="Q23" s="44">
        <v>0.05</v>
      </c>
      <c r="R23" s="45">
        <v>0.05</v>
      </c>
      <c r="S23" s="45">
        <v>0.05</v>
      </c>
      <c r="T23" s="45">
        <v>0.05</v>
      </c>
      <c r="U23" s="44">
        <v>0.05</v>
      </c>
      <c r="V23" s="45">
        <v>0.05</v>
      </c>
      <c r="W23" s="44">
        <v>0.05</v>
      </c>
      <c r="X23" s="45">
        <v>0.05</v>
      </c>
      <c r="Y23" s="45"/>
      <c r="Z23" s="45"/>
      <c r="AA23" s="45"/>
      <c r="AB23" s="45"/>
      <c r="AC23" s="45"/>
      <c r="AD23" s="45"/>
    </row>
    <row r="24" spans="1:30">
      <c r="A24" s="110"/>
      <c r="B24" s="112"/>
      <c r="C24" s="336"/>
      <c r="D24" s="333"/>
      <c r="E24" s="337"/>
      <c r="F24" s="333"/>
      <c r="G24" s="342">
        <f t="shared" ref="G24:AD24" si="21">+IF(G23&gt;0,IF(G23&gt;$D23,$F23,0),"")</f>
        <v>0</v>
      </c>
      <c r="H24" s="343">
        <f t="shared" si="21"/>
        <v>0</v>
      </c>
      <c r="I24" s="342">
        <f t="shared" si="21"/>
        <v>0</v>
      </c>
      <c r="J24" s="342">
        <f t="shared" si="21"/>
        <v>0</v>
      </c>
      <c r="K24" s="342">
        <f t="shared" si="21"/>
        <v>0</v>
      </c>
      <c r="L24" s="343">
        <f t="shared" si="21"/>
        <v>0</v>
      </c>
      <c r="M24" s="343">
        <f t="shared" si="21"/>
        <v>0</v>
      </c>
      <c r="N24" s="343">
        <f t="shared" si="21"/>
        <v>0</v>
      </c>
      <c r="O24" s="343">
        <f t="shared" si="21"/>
        <v>0</v>
      </c>
      <c r="P24" s="343">
        <f t="shared" si="21"/>
        <v>0</v>
      </c>
      <c r="Q24" s="343">
        <f t="shared" si="21"/>
        <v>0</v>
      </c>
      <c r="R24" s="343">
        <f t="shared" si="21"/>
        <v>0</v>
      </c>
      <c r="S24" s="343">
        <f t="shared" si="21"/>
        <v>0</v>
      </c>
      <c r="T24" s="343">
        <f t="shared" ref="T24" si="22">+IF(T23&gt;0,IF(T23&gt;$D23,$F23,0),"")</f>
        <v>0</v>
      </c>
      <c r="U24" s="343">
        <f t="shared" si="21"/>
        <v>0</v>
      </c>
      <c r="V24" s="343">
        <f t="shared" si="21"/>
        <v>0</v>
      </c>
      <c r="W24" s="343">
        <f t="shared" si="21"/>
        <v>0</v>
      </c>
      <c r="X24" s="343">
        <f t="shared" si="21"/>
        <v>0</v>
      </c>
      <c r="Y24" s="343" t="str">
        <f t="shared" si="21"/>
        <v/>
      </c>
      <c r="Z24" s="343" t="str">
        <f t="shared" si="21"/>
        <v/>
      </c>
      <c r="AA24" s="343" t="str">
        <f t="shared" si="21"/>
        <v/>
      </c>
      <c r="AB24" s="343" t="str">
        <f t="shared" si="21"/>
        <v/>
      </c>
      <c r="AC24" s="343" t="str">
        <f t="shared" si="21"/>
        <v/>
      </c>
      <c r="AD24" s="343" t="str">
        <f t="shared" si="21"/>
        <v/>
      </c>
    </row>
    <row r="25" spans="1:30">
      <c r="A25" s="110"/>
      <c r="B25" s="112"/>
      <c r="C25" s="336"/>
      <c r="D25" s="333"/>
      <c r="E25" s="337"/>
      <c r="F25" s="333"/>
      <c r="G25" s="340" t="str">
        <f t="shared" ref="G25:AD25" si="23">+IF(G24&gt;0,"NC","C")</f>
        <v>C</v>
      </c>
      <c r="H25" s="341" t="str">
        <f t="shared" si="23"/>
        <v>C</v>
      </c>
      <c r="I25" s="340" t="str">
        <f t="shared" si="23"/>
        <v>C</v>
      </c>
      <c r="J25" s="340" t="str">
        <f t="shared" si="23"/>
        <v>C</v>
      </c>
      <c r="K25" s="340" t="str">
        <f t="shared" si="23"/>
        <v>C</v>
      </c>
      <c r="L25" s="341" t="str">
        <f t="shared" si="23"/>
        <v>C</v>
      </c>
      <c r="M25" s="341" t="str">
        <f t="shared" si="23"/>
        <v>C</v>
      </c>
      <c r="N25" s="341" t="str">
        <f t="shared" si="23"/>
        <v>C</v>
      </c>
      <c r="O25" s="341" t="str">
        <f t="shared" si="23"/>
        <v>C</v>
      </c>
      <c r="P25" s="341" t="str">
        <f t="shared" si="23"/>
        <v>C</v>
      </c>
      <c r="Q25" s="341" t="str">
        <f t="shared" si="23"/>
        <v>C</v>
      </c>
      <c r="R25" s="341" t="str">
        <f t="shared" si="23"/>
        <v>C</v>
      </c>
      <c r="S25" s="341" t="str">
        <f t="shared" si="23"/>
        <v>C</v>
      </c>
      <c r="T25" s="341" t="str">
        <f t="shared" ref="T25" si="24">+IF(T24&gt;0,"NC","C")</f>
        <v>C</v>
      </c>
      <c r="U25" s="341" t="str">
        <f t="shared" si="23"/>
        <v>C</v>
      </c>
      <c r="V25" s="341" t="str">
        <f t="shared" si="23"/>
        <v>C</v>
      </c>
      <c r="W25" s="341" t="str">
        <f t="shared" si="23"/>
        <v>C</v>
      </c>
      <c r="X25" s="341" t="str">
        <f t="shared" si="23"/>
        <v>C</v>
      </c>
      <c r="Y25" s="341" t="str">
        <f t="shared" si="23"/>
        <v>NC</v>
      </c>
      <c r="Z25" s="341" t="str">
        <f t="shared" si="23"/>
        <v>NC</v>
      </c>
      <c r="AA25" s="341" t="str">
        <f t="shared" si="23"/>
        <v>NC</v>
      </c>
      <c r="AB25" s="341" t="str">
        <f t="shared" si="23"/>
        <v>NC</v>
      </c>
      <c r="AC25" s="341" t="str">
        <f t="shared" si="23"/>
        <v>NC</v>
      </c>
      <c r="AD25" s="341" t="str">
        <f t="shared" si="23"/>
        <v>NC</v>
      </c>
    </row>
    <row r="26" spans="1:30">
      <c r="A26" s="115" t="s">
        <v>177</v>
      </c>
      <c r="B26" s="107" t="s">
        <v>166</v>
      </c>
      <c r="C26" s="334" t="s">
        <v>167</v>
      </c>
      <c r="D26" s="335">
        <v>10</v>
      </c>
      <c r="E26" s="332" t="s">
        <v>15</v>
      </c>
      <c r="F26" s="335">
        <v>1</v>
      </c>
      <c r="G26" s="46">
        <v>0.05</v>
      </c>
      <c r="H26" s="47">
        <v>0.05</v>
      </c>
      <c r="I26" s="46">
        <v>0.05</v>
      </c>
      <c r="J26" s="46">
        <v>0.1</v>
      </c>
      <c r="K26" s="46">
        <v>0.05</v>
      </c>
      <c r="L26" s="46">
        <v>0.05</v>
      </c>
      <c r="M26" s="46">
        <v>0.05</v>
      </c>
      <c r="N26" s="47">
        <v>0.5</v>
      </c>
      <c r="O26" s="46">
        <v>0.05</v>
      </c>
      <c r="P26" s="47">
        <v>0.05</v>
      </c>
      <c r="Q26" s="46">
        <v>0.05</v>
      </c>
      <c r="R26" s="47">
        <v>0.05</v>
      </c>
      <c r="S26" s="47">
        <v>0.05</v>
      </c>
      <c r="T26" s="47">
        <v>0.05</v>
      </c>
      <c r="U26" s="46">
        <v>0.05</v>
      </c>
      <c r="V26" s="47">
        <v>0.15</v>
      </c>
      <c r="W26" s="46">
        <v>0.05</v>
      </c>
      <c r="X26" s="47">
        <v>0.05</v>
      </c>
      <c r="Y26" s="46"/>
      <c r="Z26" s="46"/>
      <c r="AA26" s="46"/>
      <c r="AB26" s="47"/>
      <c r="AC26" s="46"/>
      <c r="AD26" s="47"/>
    </row>
    <row r="27" spans="1:30">
      <c r="A27" s="110"/>
      <c r="B27" s="112"/>
      <c r="C27" s="336"/>
      <c r="D27" s="333"/>
      <c r="E27" s="337"/>
      <c r="F27" s="333"/>
      <c r="G27" s="342">
        <f t="shared" ref="G27:AD27" si="25">+IF(G26&gt;0,IF(G26&gt;$D26,$F26,0),"")</f>
        <v>0</v>
      </c>
      <c r="H27" s="343">
        <f t="shared" si="25"/>
        <v>0</v>
      </c>
      <c r="I27" s="342">
        <f t="shared" si="25"/>
        <v>0</v>
      </c>
      <c r="J27" s="342">
        <f t="shared" si="25"/>
        <v>0</v>
      </c>
      <c r="K27" s="342">
        <f t="shared" si="25"/>
        <v>0</v>
      </c>
      <c r="L27" s="343">
        <f t="shared" si="25"/>
        <v>0</v>
      </c>
      <c r="M27" s="343">
        <f t="shared" si="25"/>
        <v>0</v>
      </c>
      <c r="N27" s="343">
        <f t="shared" si="25"/>
        <v>0</v>
      </c>
      <c r="O27" s="343">
        <f t="shared" si="25"/>
        <v>0</v>
      </c>
      <c r="P27" s="343">
        <f t="shared" si="25"/>
        <v>0</v>
      </c>
      <c r="Q27" s="343">
        <f t="shared" si="25"/>
        <v>0</v>
      </c>
      <c r="R27" s="343">
        <f t="shared" si="25"/>
        <v>0</v>
      </c>
      <c r="S27" s="343">
        <f t="shared" si="25"/>
        <v>0</v>
      </c>
      <c r="T27" s="343">
        <f t="shared" ref="T27" si="26">+IF(T26&gt;0,IF(T26&gt;$D26,$F26,0),"")</f>
        <v>0</v>
      </c>
      <c r="U27" s="343">
        <f t="shared" si="25"/>
        <v>0</v>
      </c>
      <c r="V27" s="343">
        <f t="shared" si="25"/>
        <v>0</v>
      </c>
      <c r="W27" s="343">
        <f t="shared" si="25"/>
        <v>0</v>
      </c>
      <c r="X27" s="343">
        <f t="shared" si="25"/>
        <v>0</v>
      </c>
      <c r="Y27" s="343" t="str">
        <f t="shared" si="25"/>
        <v/>
      </c>
      <c r="Z27" s="343" t="str">
        <f t="shared" si="25"/>
        <v/>
      </c>
      <c r="AA27" s="343" t="str">
        <f t="shared" si="25"/>
        <v/>
      </c>
      <c r="AB27" s="343" t="str">
        <f t="shared" si="25"/>
        <v/>
      </c>
      <c r="AC27" s="343" t="str">
        <f t="shared" si="25"/>
        <v/>
      </c>
      <c r="AD27" s="343" t="str">
        <f t="shared" si="25"/>
        <v/>
      </c>
    </row>
    <row r="28" spans="1:30">
      <c r="A28" s="110"/>
      <c r="B28" s="112"/>
      <c r="C28" s="336"/>
      <c r="D28" s="333"/>
      <c r="E28" s="337"/>
      <c r="F28" s="333"/>
      <c r="G28" s="340" t="str">
        <f t="shared" ref="G28:AD28" si="27">+IF(G27&gt;0,"NC","C")</f>
        <v>C</v>
      </c>
      <c r="H28" s="341" t="str">
        <f t="shared" si="27"/>
        <v>C</v>
      </c>
      <c r="I28" s="340" t="str">
        <f t="shared" si="27"/>
        <v>C</v>
      </c>
      <c r="J28" s="340" t="str">
        <f t="shared" si="27"/>
        <v>C</v>
      </c>
      <c r="K28" s="340" t="str">
        <f t="shared" si="27"/>
        <v>C</v>
      </c>
      <c r="L28" s="341" t="str">
        <f t="shared" si="27"/>
        <v>C</v>
      </c>
      <c r="M28" s="341" t="str">
        <f t="shared" si="27"/>
        <v>C</v>
      </c>
      <c r="N28" s="341" t="str">
        <f t="shared" si="27"/>
        <v>C</v>
      </c>
      <c r="O28" s="341" t="str">
        <f t="shared" si="27"/>
        <v>C</v>
      </c>
      <c r="P28" s="341" t="str">
        <f t="shared" si="27"/>
        <v>C</v>
      </c>
      <c r="Q28" s="341" t="str">
        <f t="shared" si="27"/>
        <v>C</v>
      </c>
      <c r="R28" s="341" t="str">
        <f t="shared" si="27"/>
        <v>C</v>
      </c>
      <c r="S28" s="341" t="str">
        <f t="shared" si="27"/>
        <v>C</v>
      </c>
      <c r="T28" s="341" t="str">
        <f t="shared" ref="T28" si="28">+IF(T27&gt;0,"NC","C")</f>
        <v>C</v>
      </c>
      <c r="U28" s="341" t="str">
        <f t="shared" si="27"/>
        <v>C</v>
      </c>
      <c r="V28" s="341" t="str">
        <f t="shared" si="27"/>
        <v>C</v>
      </c>
      <c r="W28" s="341" t="str">
        <f t="shared" si="27"/>
        <v>C</v>
      </c>
      <c r="X28" s="341" t="str">
        <f t="shared" si="27"/>
        <v>C</v>
      </c>
      <c r="Y28" s="341" t="str">
        <f t="shared" si="27"/>
        <v>NC</v>
      </c>
      <c r="Z28" s="341" t="str">
        <f t="shared" si="27"/>
        <v>NC</v>
      </c>
      <c r="AA28" s="341" t="str">
        <f t="shared" si="27"/>
        <v>NC</v>
      </c>
      <c r="AB28" s="341" t="str">
        <f t="shared" si="27"/>
        <v>NC</v>
      </c>
      <c r="AC28" s="341" t="str">
        <f t="shared" si="27"/>
        <v>NC</v>
      </c>
      <c r="AD28" s="341" t="str">
        <f t="shared" si="27"/>
        <v>NC</v>
      </c>
    </row>
    <row r="29" spans="1:30">
      <c r="A29" s="115" t="s">
        <v>178</v>
      </c>
      <c r="B29" s="107" t="s">
        <v>166</v>
      </c>
      <c r="C29" s="334" t="s">
        <v>167</v>
      </c>
      <c r="D29" s="335">
        <v>200</v>
      </c>
      <c r="E29" s="332" t="s">
        <v>15</v>
      </c>
      <c r="F29" s="335">
        <v>1</v>
      </c>
      <c r="G29" s="44">
        <v>50.18</v>
      </c>
      <c r="H29" s="45">
        <v>47.95</v>
      </c>
      <c r="I29" s="44">
        <v>49.83</v>
      </c>
      <c r="J29" s="44">
        <v>29.86</v>
      </c>
      <c r="K29" s="44">
        <v>55.92</v>
      </c>
      <c r="L29" s="45">
        <v>61.46</v>
      </c>
      <c r="M29" s="44">
        <v>45.3</v>
      </c>
      <c r="N29" s="45">
        <v>50.11</v>
      </c>
      <c r="O29" s="44">
        <v>54.89</v>
      </c>
      <c r="P29" s="45">
        <v>51.13</v>
      </c>
      <c r="Q29" s="44">
        <v>44.96</v>
      </c>
      <c r="R29" s="45">
        <v>46.34</v>
      </c>
      <c r="S29" s="44">
        <v>50.91</v>
      </c>
      <c r="T29" s="44">
        <v>50.91</v>
      </c>
      <c r="U29" s="44">
        <v>42.81</v>
      </c>
      <c r="V29" s="45">
        <v>49.28</v>
      </c>
      <c r="W29" s="44">
        <v>47.47</v>
      </c>
      <c r="X29" s="44">
        <v>49.43</v>
      </c>
      <c r="Y29" s="44"/>
      <c r="Z29" s="45"/>
      <c r="AA29" s="44"/>
      <c r="AB29" s="45"/>
      <c r="AC29" s="44"/>
      <c r="AD29" s="45"/>
    </row>
    <row r="30" spans="1:30">
      <c r="A30" s="110"/>
      <c r="B30" s="112"/>
      <c r="C30" s="336"/>
      <c r="D30" s="333"/>
      <c r="E30" s="337"/>
      <c r="F30" s="333"/>
      <c r="G30" s="342">
        <f t="shared" ref="G30:AD30" si="29">+IF(G29&gt;0,IF(G29&gt;$D29,$F29,0),"")</f>
        <v>0</v>
      </c>
      <c r="H30" s="343">
        <f t="shared" si="29"/>
        <v>0</v>
      </c>
      <c r="I30" s="342">
        <f t="shared" si="29"/>
        <v>0</v>
      </c>
      <c r="J30" s="342">
        <f t="shared" si="29"/>
        <v>0</v>
      </c>
      <c r="K30" s="342">
        <f t="shared" si="29"/>
        <v>0</v>
      </c>
      <c r="L30" s="343">
        <f t="shared" si="29"/>
        <v>0</v>
      </c>
      <c r="M30" s="343">
        <f t="shared" si="29"/>
        <v>0</v>
      </c>
      <c r="N30" s="343">
        <f t="shared" si="29"/>
        <v>0</v>
      </c>
      <c r="O30" s="343">
        <f t="shared" si="29"/>
        <v>0</v>
      </c>
      <c r="P30" s="343">
        <f t="shared" si="29"/>
        <v>0</v>
      </c>
      <c r="Q30" s="343">
        <f t="shared" si="29"/>
        <v>0</v>
      </c>
      <c r="R30" s="343">
        <f t="shared" si="29"/>
        <v>0</v>
      </c>
      <c r="S30" s="343">
        <f t="shared" si="29"/>
        <v>0</v>
      </c>
      <c r="T30" s="343">
        <f t="shared" ref="T30" si="30">+IF(T29&gt;0,IF(T29&gt;$D29,$F29,0),"")</f>
        <v>0</v>
      </c>
      <c r="U30" s="343">
        <f t="shared" si="29"/>
        <v>0</v>
      </c>
      <c r="V30" s="343">
        <f t="shared" si="29"/>
        <v>0</v>
      </c>
      <c r="W30" s="343">
        <f t="shared" si="29"/>
        <v>0</v>
      </c>
      <c r="X30" s="343">
        <f t="shared" si="29"/>
        <v>0</v>
      </c>
      <c r="Y30" s="343" t="str">
        <f t="shared" si="29"/>
        <v/>
      </c>
      <c r="Z30" s="343" t="str">
        <f t="shared" si="29"/>
        <v/>
      </c>
      <c r="AA30" s="343" t="str">
        <f t="shared" si="29"/>
        <v/>
      </c>
      <c r="AB30" s="343" t="str">
        <f t="shared" si="29"/>
        <v/>
      </c>
      <c r="AC30" s="343" t="str">
        <f t="shared" si="29"/>
        <v/>
      </c>
      <c r="AD30" s="343" t="str">
        <f t="shared" si="29"/>
        <v/>
      </c>
    </row>
    <row r="31" spans="1:30">
      <c r="A31" s="110"/>
      <c r="B31" s="112"/>
      <c r="C31" s="336"/>
      <c r="D31" s="333"/>
      <c r="E31" s="337"/>
      <c r="F31" s="333"/>
      <c r="G31" s="340" t="str">
        <f t="shared" ref="G31:AD31" si="31">+IF(G30&gt;0,"NC","C")</f>
        <v>C</v>
      </c>
      <c r="H31" s="341" t="str">
        <f t="shared" si="31"/>
        <v>C</v>
      </c>
      <c r="I31" s="340" t="str">
        <f t="shared" si="31"/>
        <v>C</v>
      </c>
      <c r="J31" s="340" t="str">
        <f t="shared" si="31"/>
        <v>C</v>
      </c>
      <c r="K31" s="340" t="str">
        <f t="shared" si="31"/>
        <v>C</v>
      </c>
      <c r="L31" s="341" t="str">
        <f t="shared" si="31"/>
        <v>C</v>
      </c>
      <c r="M31" s="341" t="str">
        <f t="shared" si="31"/>
        <v>C</v>
      </c>
      <c r="N31" s="341" t="str">
        <f t="shared" si="31"/>
        <v>C</v>
      </c>
      <c r="O31" s="341" t="str">
        <f t="shared" si="31"/>
        <v>C</v>
      </c>
      <c r="P31" s="341" t="str">
        <f t="shared" si="31"/>
        <v>C</v>
      </c>
      <c r="Q31" s="341" t="str">
        <f t="shared" si="31"/>
        <v>C</v>
      </c>
      <c r="R31" s="341" t="str">
        <f t="shared" si="31"/>
        <v>C</v>
      </c>
      <c r="S31" s="341" t="str">
        <f t="shared" si="31"/>
        <v>C</v>
      </c>
      <c r="T31" s="341" t="str">
        <f t="shared" ref="T31" si="32">+IF(T30&gt;0,"NC","C")</f>
        <v>C</v>
      </c>
      <c r="U31" s="341" t="str">
        <f t="shared" si="31"/>
        <v>C</v>
      </c>
      <c r="V31" s="341" t="str">
        <f t="shared" si="31"/>
        <v>C</v>
      </c>
      <c r="W31" s="341" t="str">
        <f t="shared" si="31"/>
        <v>C</v>
      </c>
      <c r="X31" s="341" t="str">
        <f t="shared" si="31"/>
        <v>C</v>
      </c>
      <c r="Y31" s="341" t="str">
        <f t="shared" si="31"/>
        <v>NC</v>
      </c>
      <c r="Z31" s="341" t="str">
        <f t="shared" si="31"/>
        <v>NC</v>
      </c>
      <c r="AA31" s="341" t="str">
        <f t="shared" si="31"/>
        <v>NC</v>
      </c>
      <c r="AB31" s="341" t="str">
        <f t="shared" si="31"/>
        <v>NC</v>
      </c>
      <c r="AC31" s="341" t="str">
        <f t="shared" si="31"/>
        <v>NC</v>
      </c>
      <c r="AD31" s="341" t="str">
        <f t="shared" si="31"/>
        <v>NC</v>
      </c>
    </row>
    <row r="32" spans="1:30">
      <c r="A32" s="115" t="s">
        <v>179</v>
      </c>
      <c r="B32" s="107" t="s">
        <v>166</v>
      </c>
      <c r="C32" s="334" t="s">
        <v>167</v>
      </c>
      <c r="D32" s="335">
        <v>250</v>
      </c>
      <c r="E32" s="332" t="s">
        <v>15</v>
      </c>
      <c r="F32" s="335">
        <v>1</v>
      </c>
      <c r="G32" s="46">
        <v>3.08</v>
      </c>
      <c r="H32" s="47">
        <v>3.5</v>
      </c>
      <c r="I32" s="46">
        <v>3.38</v>
      </c>
      <c r="J32" s="46">
        <v>3</v>
      </c>
      <c r="K32" s="46">
        <v>3.14</v>
      </c>
      <c r="L32" s="47">
        <v>3.15</v>
      </c>
      <c r="M32" s="46">
        <v>3.48</v>
      </c>
      <c r="N32" s="47">
        <v>3.31</v>
      </c>
      <c r="O32" s="46">
        <v>3.43</v>
      </c>
      <c r="P32" s="47">
        <v>3.42</v>
      </c>
      <c r="Q32" s="46">
        <v>3.59</v>
      </c>
      <c r="R32" s="47">
        <v>3.27</v>
      </c>
      <c r="S32" s="46">
        <v>3.62</v>
      </c>
      <c r="T32" s="46">
        <v>3.62</v>
      </c>
      <c r="U32" s="46">
        <v>3.09</v>
      </c>
      <c r="V32" s="47">
        <v>3.22</v>
      </c>
      <c r="W32" s="46">
        <v>3.22</v>
      </c>
      <c r="X32" s="46">
        <v>3.05</v>
      </c>
      <c r="Y32" s="46"/>
      <c r="Z32" s="47"/>
      <c r="AA32" s="46"/>
      <c r="AB32" s="47"/>
      <c r="AC32" s="46"/>
      <c r="AD32" s="47"/>
    </row>
    <row r="33" spans="1:30">
      <c r="A33" s="110"/>
      <c r="B33" s="112"/>
      <c r="C33" s="336"/>
      <c r="D33" s="333"/>
      <c r="E33" s="337"/>
      <c r="F33" s="333"/>
      <c r="G33" s="342">
        <f t="shared" ref="G33:AD33" si="33">+IF(G32&gt;0,IF(G32&gt;$D32,$F32,0),"")</f>
        <v>0</v>
      </c>
      <c r="H33" s="343">
        <f t="shared" si="33"/>
        <v>0</v>
      </c>
      <c r="I33" s="342">
        <f t="shared" si="33"/>
        <v>0</v>
      </c>
      <c r="J33" s="342">
        <f t="shared" si="33"/>
        <v>0</v>
      </c>
      <c r="K33" s="342">
        <f t="shared" si="33"/>
        <v>0</v>
      </c>
      <c r="L33" s="343">
        <f t="shared" si="33"/>
        <v>0</v>
      </c>
      <c r="M33" s="343">
        <f t="shared" si="33"/>
        <v>0</v>
      </c>
      <c r="N33" s="343">
        <f t="shared" si="33"/>
        <v>0</v>
      </c>
      <c r="O33" s="343">
        <f t="shared" si="33"/>
        <v>0</v>
      </c>
      <c r="P33" s="343">
        <f t="shared" si="33"/>
        <v>0</v>
      </c>
      <c r="Q33" s="343">
        <f t="shared" si="33"/>
        <v>0</v>
      </c>
      <c r="R33" s="343">
        <f t="shared" si="33"/>
        <v>0</v>
      </c>
      <c r="S33" s="343">
        <f t="shared" si="33"/>
        <v>0</v>
      </c>
      <c r="T33" s="343">
        <f t="shared" ref="T33" si="34">+IF(T32&gt;0,IF(T32&gt;$D32,$F32,0),"")</f>
        <v>0</v>
      </c>
      <c r="U33" s="343">
        <f t="shared" si="33"/>
        <v>0</v>
      </c>
      <c r="V33" s="343">
        <f t="shared" si="33"/>
        <v>0</v>
      </c>
      <c r="W33" s="343">
        <f t="shared" si="33"/>
        <v>0</v>
      </c>
      <c r="X33" s="343">
        <f t="shared" si="33"/>
        <v>0</v>
      </c>
      <c r="Y33" s="343" t="str">
        <f t="shared" si="33"/>
        <v/>
      </c>
      <c r="Z33" s="343" t="str">
        <f t="shared" si="33"/>
        <v/>
      </c>
      <c r="AA33" s="343" t="str">
        <f t="shared" si="33"/>
        <v/>
      </c>
      <c r="AB33" s="343" t="str">
        <f t="shared" si="33"/>
        <v/>
      </c>
      <c r="AC33" s="343" t="str">
        <f t="shared" si="33"/>
        <v/>
      </c>
      <c r="AD33" s="343" t="str">
        <f t="shared" si="33"/>
        <v/>
      </c>
    </row>
    <row r="34" spans="1:30">
      <c r="A34" s="110"/>
      <c r="B34" s="112"/>
      <c r="C34" s="336"/>
      <c r="D34" s="333"/>
      <c r="E34" s="337"/>
      <c r="F34" s="333"/>
      <c r="G34" s="340" t="str">
        <f t="shared" ref="G34:AD34" si="35">+IF(G33&gt;0,"NC","C")</f>
        <v>C</v>
      </c>
      <c r="H34" s="341" t="str">
        <f t="shared" si="35"/>
        <v>C</v>
      </c>
      <c r="I34" s="340" t="str">
        <f t="shared" si="35"/>
        <v>C</v>
      </c>
      <c r="J34" s="340" t="str">
        <f t="shared" si="35"/>
        <v>C</v>
      </c>
      <c r="K34" s="340" t="str">
        <f t="shared" si="35"/>
        <v>C</v>
      </c>
      <c r="L34" s="341" t="str">
        <f t="shared" si="35"/>
        <v>C</v>
      </c>
      <c r="M34" s="341" t="str">
        <f t="shared" si="35"/>
        <v>C</v>
      </c>
      <c r="N34" s="341" t="str">
        <f t="shared" si="35"/>
        <v>C</v>
      </c>
      <c r="O34" s="341" t="str">
        <f t="shared" si="35"/>
        <v>C</v>
      </c>
      <c r="P34" s="341" t="str">
        <f t="shared" si="35"/>
        <v>C</v>
      </c>
      <c r="Q34" s="341" t="str">
        <f t="shared" si="35"/>
        <v>C</v>
      </c>
      <c r="R34" s="341" t="str">
        <f t="shared" si="35"/>
        <v>C</v>
      </c>
      <c r="S34" s="341" t="str">
        <f t="shared" si="35"/>
        <v>C</v>
      </c>
      <c r="T34" s="341" t="str">
        <f t="shared" ref="T34" si="36">+IF(T33&gt;0,"NC","C")</f>
        <v>C</v>
      </c>
      <c r="U34" s="341" t="str">
        <f t="shared" si="35"/>
        <v>C</v>
      </c>
      <c r="V34" s="341" t="str">
        <f t="shared" si="35"/>
        <v>C</v>
      </c>
      <c r="W34" s="341" t="str">
        <f t="shared" si="35"/>
        <v>C</v>
      </c>
      <c r="X34" s="341" t="str">
        <f t="shared" si="35"/>
        <v>C</v>
      </c>
      <c r="Y34" s="341" t="str">
        <f t="shared" si="35"/>
        <v>NC</v>
      </c>
      <c r="Z34" s="341" t="str">
        <f t="shared" si="35"/>
        <v>NC</v>
      </c>
      <c r="AA34" s="341" t="str">
        <f t="shared" si="35"/>
        <v>NC</v>
      </c>
      <c r="AB34" s="341" t="str">
        <f t="shared" si="35"/>
        <v>NC</v>
      </c>
      <c r="AC34" s="341" t="str">
        <f t="shared" si="35"/>
        <v>NC</v>
      </c>
      <c r="AD34" s="341" t="str">
        <f t="shared" si="35"/>
        <v>NC</v>
      </c>
    </row>
    <row r="35" spans="1:30">
      <c r="A35" s="115" t="s">
        <v>180</v>
      </c>
      <c r="B35" s="107" t="s">
        <v>166</v>
      </c>
      <c r="C35" s="334" t="s">
        <v>167</v>
      </c>
      <c r="D35" s="335">
        <v>0.39900000000000002</v>
      </c>
      <c r="E35" s="332" t="s">
        <v>15</v>
      </c>
      <c r="F35" s="335">
        <v>3</v>
      </c>
      <c r="G35" s="48">
        <v>0.36199999999999999</v>
      </c>
      <c r="H35" s="79">
        <v>0.32800000000000001</v>
      </c>
      <c r="I35" s="79">
        <v>0.36699999999999999</v>
      </c>
      <c r="J35" s="79">
        <v>0.34439999999999998</v>
      </c>
      <c r="K35" s="79">
        <v>0.30299999999999999</v>
      </c>
      <c r="L35" s="79">
        <v>0.09</v>
      </c>
      <c r="M35" s="48">
        <v>0.09</v>
      </c>
      <c r="N35" s="79">
        <v>0.09</v>
      </c>
      <c r="O35" s="48">
        <v>0.09</v>
      </c>
      <c r="P35" s="79">
        <v>0.09</v>
      </c>
      <c r="Q35" s="48">
        <v>0.09</v>
      </c>
      <c r="R35" s="79">
        <v>0.125</v>
      </c>
      <c r="S35" s="48">
        <v>0.09</v>
      </c>
      <c r="T35" s="48">
        <v>0.09</v>
      </c>
      <c r="U35" s="48">
        <v>0.126</v>
      </c>
      <c r="V35" s="79">
        <v>0.09</v>
      </c>
      <c r="W35" s="48">
        <v>0.09</v>
      </c>
      <c r="X35" s="48">
        <v>0.09</v>
      </c>
      <c r="Y35" s="44"/>
      <c r="Z35" s="45"/>
      <c r="AA35" s="44"/>
      <c r="AB35" s="45"/>
      <c r="AC35" s="44"/>
      <c r="AD35" s="45"/>
    </row>
    <row r="36" spans="1:30">
      <c r="A36" s="110"/>
      <c r="B36" s="112"/>
      <c r="C36" s="336"/>
      <c r="D36" s="333"/>
      <c r="E36" s="337"/>
      <c r="F36" s="333"/>
      <c r="G36" s="342">
        <f>+IF(G35&gt;0,IF(G35&gt;$D35,$F35,0),"")</f>
        <v>0</v>
      </c>
      <c r="H36" s="343">
        <f>+IF(H35&gt;0,IF(H35&gt;$D35,$F35,0),"")</f>
        <v>0</v>
      </c>
      <c r="I36" s="342">
        <v>0</v>
      </c>
      <c r="J36" s="342">
        <f t="shared" ref="J36:AD36" si="37">+IF(J35&gt;0,IF(J35&gt;$D35,$F35,0),"")</f>
        <v>0</v>
      </c>
      <c r="K36" s="342">
        <f t="shared" si="37"/>
        <v>0</v>
      </c>
      <c r="L36" s="343">
        <f t="shared" si="37"/>
        <v>0</v>
      </c>
      <c r="M36" s="343">
        <f t="shared" si="37"/>
        <v>0</v>
      </c>
      <c r="N36" s="343">
        <f t="shared" si="37"/>
        <v>0</v>
      </c>
      <c r="O36" s="343">
        <f t="shared" si="37"/>
        <v>0</v>
      </c>
      <c r="P36" s="343">
        <f t="shared" si="37"/>
        <v>0</v>
      </c>
      <c r="Q36" s="343">
        <f t="shared" si="37"/>
        <v>0</v>
      </c>
      <c r="R36" s="343">
        <f t="shared" si="37"/>
        <v>0</v>
      </c>
      <c r="S36" s="343">
        <f t="shared" si="37"/>
        <v>0</v>
      </c>
      <c r="T36" s="343">
        <f t="shared" ref="T36" si="38">+IF(T35&gt;0,IF(T35&gt;$D35,$F35,0),"")</f>
        <v>0</v>
      </c>
      <c r="U36" s="343">
        <f t="shared" si="37"/>
        <v>0</v>
      </c>
      <c r="V36" s="343">
        <f t="shared" si="37"/>
        <v>0</v>
      </c>
      <c r="W36" s="343">
        <f t="shared" si="37"/>
        <v>0</v>
      </c>
      <c r="X36" s="343">
        <f t="shared" si="37"/>
        <v>0</v>
      </c>
      <c r="Y36" s="343" t="str">
        <f t="shared" si="37"/>
        <v/>
      </c>
      <c r="Z36" s="343" t="str">
        <f t="shared" si="37"/>
        <v/>
      </c>
      <c r="AA36" s="343" t="str">
        <f t="shared" si="37"/>
        <v/>
      </c>
      <c r="AB36" s="343" t="str">
        <f t="shared" si="37"/>
        <v/>
      </c>
      <c r="AC36" s="343" t="str">
        <f t="shared" si="37"/>
        <v/>
      </c>
      <c r="AD36" s="343" t="str">
        <f t="shared" si="37"/>
        <v/>
      </c>
    </row>
    <row r="37" spans="1:30">
      <c r="A37" s="110"/>
      <c r="B37" s="112"/>
      <c r="C37" s="336"/>
      <c r="D37" s="333"/>
      <c r="E37" s="337"/>
      <c r="F37" s="333"/>
      <c r="G37" s="340" t="str">
        <f t="shared" ref="G37:AD37" si="39">+IF(G36&gt;0,"NC","C")</f>
        <v>C</v>
      </c>
      <c r="H37" s="341" t="str">
        <f t="shared" si="39"/>
        <v>C</v>
      </c>
      <c r="I37" s="340" t="str">
        <f t="shared" si="39"/>
        <v>C</v>
      </c>
      <c r="J37" s="344" t="str">
        <f t="shared" si="39"/>
        <v>C</v>
      </c>
      <c r="K37" s="344" t="str">
        <f t="shared" si="39"/>
        <v>C</v>
      </c>
      <c r="L37" s="345" t="str">
        <f t="shared" si="39"/>
        <v>C</v>
      </c>
      <c r="M37" s="345" t="str">
        <f t="shared" si="39"/>
        <v>C</v>
      </c>
      <c r="N37" s="345" t="str">
        <f t="shared" si="39"/>
        <v>C</v>
      </c>
      <c r="O37" s="345" t="str">
        <f t="shared" si="39"/>
        <v>C</v>
      </c>
      <c r="P37" s="345" t="str">
        <f t="shared" si="39"/>
        <v>C</v>
      </c>
      <c r="Q37" s="345" t="str">
        <f t="shared" si="39"/>
        <v>C</v>
      </c>
      <c r="R37" s="345" t="str">
        <f t="shared" si="39"/>
        <v>C</v>
      </c>
      <c r="S37" s="345" t="str">
        <f t="shared" si="39"/>
        <v>C</v>
      </c>
      <c r="T37" s="345" t="str">
        <f t="shared" ref="T37" si="40">+IF(T36&gt;0,"NC","C")</f>
        <v>C</v>
      </c>
      <c r="U37" s="345" t="str">
        <f t="shared" si="39"/>
        <v>C</v>
      </c>
      <c r="V37" s="345" t="str">
        <f t="shared" si="39"/>
        <v>C</v>
      </c>
      <c r="W37" s="345" t="str">
        <f t="shared" si="39"/>
        <v>C</v>
      </c>
      <c r="X37" s="345" t="str">
        <f t="shared" si="39"/>
        <v>C</v>
      </c>
      <c r="Y37" s="345" t="str">
        <f t="shared" si="39"/>
        <v>NC</v>
      </c>
      <c r="Z37" s="345" t="str">
        <f t="shared" si="39"/>
        <v>NC</v>
      </c>
      <c r="AA37" s="345" t="str">
        <f t="shared" si="39"/>
        <v>NC</v>
      </c>
      <c r="AB37" s="345" t="str">
        <f t="shared" si="39"/>
        <v>NC</v>
      </c>
      <c r="AC37" s="345" t="str">
        <f t="shared" si="39"/>
        <v>NC</v>
      </c>
      <c r="AD37" s="345" t="str">
        <f t="shared" si="39"/>
        <v>NC</v>
      </c>
    </row>
    <row r="38" spans="1:30">
      <c r="A38" s="115" t="s">
        <v>181</v>
      </c>
      <c r="B38" s="107" t="s">
        <v>166</v>
      </c>
      <c r="C38" s="334" t="s">
        <v>167</v>
      </c>
      <c r="D38" s="335">
        <v>300</v>
      </c>
      <c r="E38" s="332" t="s">
        <v>15</v>
      </c>
      <c r="F38" s="335">
        <v>1</v>
      </c>
      <c r="G38" s="44">
        <v>83.88</v>
      </c>
      <c r="H38" s="45">
        <v>50.1</v>
      </c>
      <c r="I38" s="44">
        <v>58.48</v>
      </c>
      <c r="J38" s="44">
        <v>35.630000000000003</v>
      </c>
      <c r="K38" s="44">
        <v>66.150000000000006</v>
      </c>
      <c r="L38" s="45">
        <v>47.36</v>
      </c>
      <c r="M38" s="44">
        <v>54.55</v>
      </c>
      <c r="N38" s="45">
        <v>50.98</v>
      </c>
      <c r="O38" s="44">
        <v>46.27</v>
      </c>
      <c r="P38" s="45">
        <v>38.76</v>
      </c>
      <c r="Q38" s="44">
        <v>84.88</v>
      </c>
      <c r="R38" s="45">
        <v>24.81</v>
      </c>
      <c r="S38" s="44">
        <v>36.119999999999997</v>
      </c>
      <c r="T38" s="44">
        <v>36.119999999999997</v>
      </c>
      <c r="U38" s="44">
        <v>79.88</v>
      </c>
      <c r="V38" s="45">
        <v>53.39</v>
      </c>
      <c r="W38" s="44">
        <v>21.71</v>
      </c>
      <c r="X38" s="44">
        <v>29.98</v>
      </c>
      <c r="Y38" s="44"/>
      <c r="Z38" s="45"/>
      <c r="AA38" s="44"/>
      <c r="AB38" s="45"/>
      <c r="AC38" s="44"/>
      <c r="AD38" s="45"/>
    </row>
    <row r="39" spans="1:30">
      <c r="A39" s="110"/>
      <c r="B39" s="112"/>
      <c r="C39" s="336"/>
      <c r="D39" s="333"/>
      <c r="E39" s="337"/>
      <c r="F39" s="333"/>
      <c r="G39" s="342">
        <f t="shared" ref="G39:AD39" si="41">+IF(G38&gt;0,IF(G38&gt;$D38,$F38,0),"")</f>
        <v>0</v>
      </c>
      <c r="H39" s="343">
        <f t="shared" si="41"/>
        <v>0</v>
      </c>
      <c r="I39" s="342">
        <f t="shared" si="41"/>
        <v>0</v>
      </c>
      <c r="J39" s="342">
        <f t="shared" si="41"/>
        <v>0</v>
      </c>
      <c r="K39" s="342">
        <f t="shared" si="41"/>
        <v>0</v>
      </c>
      <c r="L39" s="343">
        <f t="shared" si="41"/>
        <v>0</v>
      </c>
      <c r="M39" s="343">
        <f t="shared" si="41"/>
        <v>0</v>
      </c>
      <c r="N39" s="343">
        <f t="shared" si="41"/>
        <v>0</v>
      </c>
      <c r="O39" s="343">
        <f t="shared" si="41"/>
        <v>0</v>
      </c>
      <c r="P39" s="343">
        <f t="shared" si="41"/>
        <v>0</v>
      </c>
      <c r="Q39" s="343">
        <f t="shared" si="41"/>
        <v>0</v>
      </c>
      <c r="R39" s="343">
        <f t="shared" si="41"/>
        <v>0</v>
      </c>
      <c r="S39" s="343">
        <f t="shared" si="41"/>
        <v>0</v>
      </c>
      <c r="T39" s="343">
        <f t="shared" ref="T39" si="42">+IF(T38&gt;0,IF(T38&gt;$D38,$F38,0),"")</f>
        <v>0</v>
      </c>
      <c r="U39" s="343">
        <f t="shared" si="41"/>
        <v>0</v>
      </c>
      <c r="V39" s="343">
        <f t="shared" si="41"/>
        <v>0</v>
      </c>
      <c r="W39" s="343">
        <f t="shared" si="41"/>
        <v>0</v>
      </c>
      <c r="X39" s="343">
        <f t="shared" si="41"/>
        <v>0</v>
      </c>
      <c r="Y39" s="343" t="str">
        <f t="shared" si="41"/>
        <v/>
      </c>
      <c r="Z39" s="343" t="str">
        <f t="shared" si="41"/>
        <v/>
      </c>
      <c r="AA39" s="343" t="str">
        <f t="shared" si="41"/>
        <v/>
      </c>
      <c r="AB39" s="343" t="str">
        <f t="shared" si="41"/>
        <v/>
      </c>
      <c r="AC39" s="343" t="str">
        <f t="shared" si="41"/>
        <v/>
      </c>
      <c r="AD39" s="343" t="str">
        <f t="shared" si="41"/>
        <v/>
      </c>
    </row>
    <row r="40" spans="1:30">
      <c r="A40" s="110"/>
      <c r="B40" s="112"/>
      <c r="C40" s="336"/>
      <c r="D40" s="333"/>
      <c r="E40" s="337"/>
      <c r="F40" s="333"/>
      <c r="G40" s="340" t="str">
        <f t="shared" ref="G40:AD40" si="43">+IF(G39&gt;0,"NC","C")</f>
        <v>C</v>
      </c>
      <c r="H40" s="341" t="str">
        <f t="shared" si="43"/>
        <v>C</v>
      </c>
      <c r="I40" s="340" t="str">
        <f t="shared" si="43"/>
        <v>C</v>
      </c>
      <c r="J40" s="340" t="str">
        <f t="shared" si="43"/>
        <v>C</v>
      </c>
      <c r="K40" s="340" t="str">
        <f t="shared" si="43"/>
        <v>C</v>
      </c>
      <c r="L40" s="341" t="str">
        <f t="shared" si="43"/>
        <v>C</v>
      </c>
      <c r="M40" s="341" t="str">
        <f t="shared" si="43"/>
        <v>C</v>
      </c>
      <c r="N40" s="341" t="str">
        <f t="shared" si="43"/>
        <v>C</v>
      </c>
      <c r="O40" s="341" t="str">
        <f t="shared" si="43"/>
        <v>C</v>
      </c>
      <c r="P40" s="341" t="str">
        <f t="shared" si="43"/>
        <v>C</v>
      </c>
      <c r="Q40" s="341" t="str">
        <f t="shared" si="43"/>
        <v>C</v>
      </c>
      <c r="R40" s="341" t="str">
        <f t="shared" si="43"/>
        <v>C</v>
      </c>
      <c r="S40" s="341" t="str">
        <f t="shared" si="43"/>
        <v>C</v>
      </c>
      <c r="T40" s="341" t="str">
        <f t="shared" ref="T40" si="44">+IF(T39&gt;0,"NC","C")</f>
        <v>C</v>
      </c>
      <c r="U40" s="341" t="str">
        <f t="shared" si="43"/>
        <v>C</v>
      </c>
      <c r="V40" s="341" t="str">
        <f t="shared" si="43"/>
        <v>C</v>
      </c>
      <c r="W40" s="341" t="str">
        <f t="shared" si="43"/>
        <v>C</v>
      </c>
      <c r="X40" s="341" t="str">
        <f t="shared" si="43"/>
        <v>C</v>
      </c>
      <c r="Y40" s="341" t="str">
        <f t="shared" si="43"/>
        <v>NC</v>
      </c>
      <c r="Z40" s="341" t="str">
        <f t="shared" si="43"/>
        <v>NC</v>
      </c>
      <c r="AA40" s="341" t="str">
        <f t="shared" si="43"/>
        <v>NC</v>
      </c>
      <c r="AB40" s="341" t="str">
        <f t="shared" si="43"/>
        <v>NC</v>
      </c>
      <c r="AC40" s="341" t="str">
        <f t="shared" si="43"/>
        <v>NC</v>
      </c>
      <c r="AD40" s="341" t="str">
        <f t="shared" si="43"/>
        <v>NC</v>
      </c>
    </row>
    <row r="41" spans="1:30">
      <c r="A41" s="115" t="s">
        <v>182</v>
      </c>
      <c r="B41" s="107" t="s">
        <v>166</v>
      </c>
      <c r="C41" s="334" t="s">
        <v>167</v>
      </c>
      <c r="D41" s="335">
        <v>0.39900000000000002</v>
      </c>
      <c r="E41" s="332" t="s">
        <v>15</v>
      </c>
      <c r="F41" s="335">
        <v>1.5</v>
      </c>
      <c r="G41" s="48">
        <v>0.27800000000000002</v>
      </c>
      <c r="H41" s="79">
        <v>0.19800000000000001</v>
      </c>
      <c r="I41" s="48">
        <v>0.107</v>
      </c>
      <c r="J41" s="48">
        <v>0.21099999999999999</v>
      </c>
      <c r="K41" s="48">
        <v>0.09</v>
      </c>
      <c r="L41" s="79">
        <v>0.09</v>
      </c>
      <c r="M41" s="48">
        <v>0.09</v>
      </c>
      <c r="N41" s="79">
        <v>0.09</v>
      </c>
      <c r="O41" s="48">
        <v>0.09</v>
      </c>
      <c r="P41" s="79">
        <v>0.09</v>
      </c>
      <c r="Q41" s="48">
        <v>0.09</v>
      </c>
      <c r="R41" s="79">
        <v>0.377</v>
      </c>
      <c r="S41" s="48">
        <v>0.09</v>
      </c>
      <c r="T41" s="48">
        <v>0.09</v>
      </c>
      <c r="U41" s="48">
        <v>0.249</v>
      </c>
      <c r="V41" s="79">
        <v>0.09</v>
      </c>
      <c r="W41" s="48">
        <v>9.1999999999999998E-2</v>
      </c>
      <c r="X41" s="48">
        <v>0.09</v>
      </c>
      <c r="Y41" s="48"/>
      <c r="Z41" s="48"/>
      <c r="AA41" s="48"/>
      <c r="AB41" s="79"/>
      <c r="AC41" s="48"/>
      <c r="AD41" s="79"/>
    </row>
    <row r="42" spans="1:30">
      <c r="A42" s="110"/>
      <c r="B42" s="112"/>
      <c r="C42" s="336"/>
      <c r="D42" s="333"/>
      <c r="E42" s="337"/>
      <c r="F42" s="333"/>
      <c r="G42" s="342">
        <f t="shared" ref="G42:AD42" si="45">+IF(G41&gt;0,IF(G41&gt;$D41,$F41,0),"")</f>
        <v>0</v>
      </c>
      <c r="H42" s="343">
        <f t="shared" si="45"/>
        <v>0</v>
      </c>
      <c r="I42" s="342">
        <f t="shared" si="45"/>
        <v>0</v>
      </c>
      <c r="J42" s="342">
        <f t="shared" si="45"/>
        <v>0</v>
      </c>
      <c r="K42" s="342">
        <f t="shared" si="45"/>
        <v>0</v>
      </c>
      <c r="L42" s="343">
        <f t="shared" si="45"/>
        <v>0</v>
      </c>
      <c r="M42" s="343">
        <f t="shared" si="45"/>
        <v>0</v>
      </c>
      <c r="N42" s="343">
        <f t="shared" si="45"/>
        <v>0</v>
      </c>
      <c r="O42" s="343">
        <f t="shared" si="45"/>
        <v>0</v>
      </c>
      <c r="P42" s="343">
        <f t="shared" si="45"/>
        <v>0</v>
      </c>
      <c r="Q42" s="343">
        <f t="shared" si="45"/>
        <v>0</v>
      </c>
      <c r="R42" s="343">
        <f t="shared" si="45"/>
        <v>0</v>
      </c>
      <c r="S42" s="343">
        <f t="shared" si="45"/>
        <v>0</v>
      </c>
      <c r="T42" s="343">
        <f t="shared" ref="T42" si="46">+IF(T41&gt;0,IF(T41&gt;$D41,$F41,0),"")</f>
        <v>0</v>
      </c>
      <c r="U42" s="343">
        <f t="shared" si="45"/>
        <v>0</v>
      </c>
      <c r="V42" s="343">
        <f t="shared" si="45"/>
        <v>0</v>
      </c>
      <c r="W42" s="343">
        <f t="shared" si="45"/>
        <v>0</v>
      </c>
      <c r="X42" s="343">
        <f t="shared" si="45"/>
        <v>0</v>
      </c>
      <c r="Y42" s="343" t="str">
        <f t="shared" si="45"/>
        <v/>
      </c>
      <c r="Z42" s="343" t="str">
        <f t="shared" si="45"/>
        <v/>
      </c>
      <c r="AA42" s="343" t="str">
        <f t="shared" si="45"/>
        <v/>
      </c>
      <c r="AB42" s="343" t="str">
        <f t="shared" si="45"/>
        <v/>
      </c>
      <c r="AC42" s="343" t="str">
        <f t="shared" si="45"/>
        <v/>
      </c>
      <c r="AD42" s="343" t="str">
        <f t="shared" si="45"/>
        <v/>
      </c>
    </row>
    <row r="43" spans="1:30">
      <c r="A43" s="110"/>
      <c r="B43" s="112"/>
      <c r="C43" s="336"/>
      <c r="D43" s="333"/>
      <c r="E43" s="337"/>
      <c r="F43" s="333"/>
      <c r="G43" s="340" t="str">
        <f t="shared" ref="G43:AD43" si="47">+IF(G42&gt;0,"NC","C")</f>
        <v>C</v>
      </c>
      <c r="H43" s="341" t="str">
        <f t="shared" si="47"/>
        <v>C</v>
      </c>
      <c r="I43" s="340" t="str">
        <f t="shared" si="47"/>
        <v>C</v>
      </c>
      <c r="J43" s="340" t="str">
        <f t="shared" si="47"/>
        <v>C</v>
      </c>
      <c r="K43" s="340" t="str">
        <f t="shared" si="47"/>
        <v>C</v>
      </c>
      <c r="L43" s="341" t="str">
        <f t="shared" si="47"/>
        <v>C</v>
      </c>
      <c r="M43" s="341" t="str">
        <f t="shared" si="47"/>
        <v>C</v>
      </c>
      <c r="N43" s="341" t="str">
        <f t="shared" si="47"/>
        <v>C</v>
      </c>
      <c r="O43" s="341" t="str">
        <f t="shared" si="47"/>
        <v>C</v>
      </c>
      <c r="P43" s="341" t="str">
        <f t="shared" si="47"/>
        <v>C</v>
      </c>
      <c r="Q43" s="341" t="str">
        <f t="shared" si="47"/>
        <v>C</v>
      </c>
      <c r="R43" s="341" t="str">
        <f t="shared" si="47"/>
        <v>C</v>
      </c>
      <c r="S43" s="341" t="str">
        <f t="shared" si="47"/>
        <v>C</v>
      </c>
      <c r="T43" s="341" t="str">
        <f t="shared" ref="T43" si="48">+IF(T42&gt;0,"NC","C")</f>
        <v>C</v>
      </c>
      <c r="U43" s="341" t="str">
        <f t="shared" si="47"/>
        <v>C</v>
      </c>
      <c r="V43" s="341" t="str">
        <f t="shared" si="47"/>
        <v>C</v>
      </c>
      <c r="W43" s="341" t="str">
        <f t="shared" si="47"/>
        <v>C</v>
      </c>
      <c r="X43" s="341" t="str">
        <f t="shared" si="47"/>
        <v>C</v>
      </c>
      <c r="Y43" s="341" t="str">
        <f t="shared" si="47"/>
        <v>NC</v>
      </c>
      <c r="Z43" s="341" t="str">
        <f t="shared" si="47"/>
        <v>NC</v>
      </c>
      <c r="AA43" s="341" t="str">
        <f t="shared" si="47"/>
        <v>NC</v>
      </c>
      <c r="AB43" s="341" t="str">
        <f t="shared" si="47"/>
        <v>NC</v>
      </c>
      <c r="AC43" s="341" t="str">
        <f t="shared" si="47"/>
        <v>NC</v>
      </c>
      <c r="AD43" s="341" t="str">
        <f t="shared" si="47"/>
        <v>NC</v>
      </c>
    </row>
    <row r="44" spans="1:30">
      <c r="A44" s="115" t="s">
        <v>183</v>
      </c>
      <c r="B44" s="107" t="s">
        <v>166</v>
      </c>
      <c r="C44" s="334" t="s">
        <v>167</v>
      </c>
      <c r="D44" s="335">
        <v>0.1</v>
      </c>
      <c r="E44" s="332" t="s">
        <v>15</v>
      </c>
      <c r="F44" s="335">
        <v>1</v>
      </c>
      <c r="G44" s="48">
        <v>2.5000000000000001E-2</v>
      </c>
      <c r="H44" s="79">
        <v>1.9E-2</v>
      </c>
      <c r="I44" s="48">
        <v>1.6E-2</v>
      </c>
      <c r="J44" s="48">
        <v>2.5999999999999999E-2</v>
      </c>
      <c r="K44" s="48">
        <v>1.4E-2</v>
      </c>
      <c r="L44" s="79">
        <v>3.0000000000000001E-3</v>
      </c>
      <c r="M44" s="48">
        <v>3.0000000000000001E-3</v>
      </c>
      <c r="N44" s="79">
        <v>3.0000000000000001E-3</v>
      </c>
      <c r="O44" s="48">
        <v>3.0000000000000001E-3</v>
      </c>
      <c r="P44" s="79">
        <v>3.0000000000000001E-3</v>
      </c>
      <c r="Q44" s="48">
        <v>3.0000000000000001E-3</v>
      </c>
      <c r="R44" s="79">
        <v>8.9999999999999993E-3</v>
      </c>
      <c r="S44" s="79">
        <v>3.0000000000000001E-3</v>
      </c>
      <c r="T44" s="79">
        <v>3.0000000000000001E-3</v>
      </c>
      <c r="U44" s="48">
        <v>7.0000000000000001E-3</v>
      </c>
      <c r="V44" s="79">
        <v>4.0000000000000001E-3</v>
      </c>
      <c r="W44" s="48">
        <v>3.0000000000000001E-3</v>
      </c>
      <c r="X44" s="48">
        <v>1.7999999999999999E-2</v>
      </c>
      <c r="Y44" s="48"/>
      <c r="Z44" s="48"/>
      <c r="AA44" s="48"/>
      <c r="AB44" s="79"/>
      <c r="AC44" s="48"/>
      <c r="AD44" s="79"/>
    </row>
    <row r="45" spans="1:30">
      <c r="A45" s="110"/>
      <c r="B45" s="112"/>
      <c r="C45" s="336"/>
      <c r="D45" s="333"/>
      <c r="E45" s="337"/>
      <c r="F45" s="333"/>
      <c r="G45" s="342">
        <f t="shared" ref="G45:AD45" si="49">+IF(G44&gt;0,IF(G44&gt;$D44,$F44,0),"")</f>
        <v>0</v>
      </c>
      <c r="H45" s="343">
        <f t="shared" si="49"/>
        <v>0</v>
      </c>
      <c r="I45" s="342">
        <f t="shared" si="49"/>
        <v>0</v>
      </c>
      <c r="J45" s="342">
        <f t="shared" si="49"/>
        <v>0</v>
      </c>
      <c r="K45" s="342">
        <f t="shared" si="49"/>
        <v>0</v>
      </c>
      <c r="L45" s="343">
        <f t="shared" si="49"/>
        <v>0</v>
      </c>
      <c r="M45" s="343">
        <f t="shared" si="49"/>
        <v>0</v>
      </c>
      <c r="N45" s="343">
        <f t="shared" si="49"/>
        <v>0</v>
      </c>
      <c r="O45" s="343">
        <f t="shared" si="49"/>
        <v>0</v>
      </c>
      <c r="P45" s="343">
        <f t="shared" si="49"/>
        <v>0</v>
      </c>
      <c r="Q45" s="343">
        <f t="shared" si="49"/>
        <v>0</v>
      </c>
      <c r="R45" s="343">
        <f t="shared" si="49"/>
        <v>0</v>
      </c>
      <c r="S45" s="343">
        <f t="shared" si="49"/>
        <v>0</v>
      </c>
      <c r="T45" s="343">
        <f t="shared" ref="T45" si="50">+IF(T44&gt;0,IF(T44&gt;$D44,$F44,0),"")</f>
        <v>0</v>
      </c>
      <c r="U45" s="343">
        <f t="shared" si="49"/>
        <v>0</v>
      </c>
      <c r="V45" s="343">
        <f t="shared" si="49"/>
        <v>0</v>
      </c>
      <c r="W45" s="343">
        <f t="shared" si="49"/>
        <v>0</v>
      </c>
      <c r="X45" s="343">
        <f t="shared" si="49"/>
        <v>0</v>
      </c>
      <c r="Y45" s="343" t="str">
        <f t="shared" si="49"/>
        <v/>
      </c>
      <c r="Z45" s="343" t="str">
        <f t="shared" si="49"/>
        <v/>
      </c>
      <c r="AA45" s="343" t="str">
        <f t="shared" si="49"/>
        <v/>
      </c>
      <c r="AB45" s="343" t="str">
        <f t="shared" si="49"/>
        <v/>
      </c>
      <c r="AC45" s="343" t="str">
        <f t="shared" si="49"/>
        <v/>
      </c>
      <c r="AD45" s="343" t="str">
        <f t="shared" si="49"/>
        <v/>
      </c>
    </row>
    <row r="46" spans="1:30">
      <c r="A46" s="110"/>
      <c r="B46" s="112"/>
      <c r="C46" s="336"/>
      <c r="D46" s="333"/>
      <c r="E46" s="337"/>
      <c r="F46" s="333"/>
      <c r="G46" s="340" t="str">
        <f t="shared" ref="G46:AD46" si="51">+IF(G45&gt;0,"NC","C")</f>
        <v>C</v>
      </c>
      <c r="H46" s="341" t="str">
        <f t="shared" si="51"/>
        <v>C</v>
      </c>
      <c r="I46" s="340" t="str">
        <f t="shared" si="51"/>
        <v>C</v>
      </c>
      <c r="J46" s="340" t="str">
        <f t="shared" si="51"/>
        <v>C</v>
      </c>
      <c r="K46" s="340" t="str">
        <f t="shared" si="51"/>
        <v>C</v>
      </c>
      <c r="L46" s="341" t="str">
        <f t="shared" si="51"/>
        <v>C</v>
      </c>
      <c r="M46" s="341" t="str">
        <f t="shared" si="51"/>
        <v>C</v>
      </c>
      <c r="N46" s="341" t="str">
        <f t="shared" si="51"/>
        <v>C</v>
      </c>
      <c r="O46" s="341" t="str">
        <f t="shared" si="51"/>
        <v>C</v>
      </c>
      <c r="P46" s="341" t="str">
        <f t="shared" si="51"/>
        <v>C</v>
      </c>
      <c r="Q46" s="341" t="str">
        <f t="shared" si="51"/>
        <v>C</v>
      </c>
      <c r="R46" s="341" t="str">
        <f t="shared" si="51"/>
        <v>C</v>
      </c>
      <c r="S46" s="341" t="str">
        <f t="shared" si="51"/>
        <v>C</v>
      </c>
      <c r="T46" s="341" t="str">
        <f t="shared" ref="T46" si="52">+IF(T45&gt;0,"NC","C")</f>
        <v>C</v>
      </c>
      <c r="U46" s="341" t="str">
        <f t="shared" si="51"/>
        <v>C</v>
      </c>
      <c r="V46" s="341" t="str">
        <f t="shared" si="51"/>
        <v>C</v>
      </c>
      <c r="W46" s="341" t="str">
        <f t="shared" si="51"/>
        <v>C</v>
      </c>
      <c r="X46" s="341" t="str">
        <f t="shared" si="51"/>
        <v>C</v>
      </c>
      <c r="Y46" s="341" t="str">
        <f t="shared" si="51"/>
        <v>NC</v>
      </c>
      <c r="Z46" s="341" t="str">
        <f t="shared" si="51"/>
        <v>NC</v>
      </c>
      <c r="AA46" s="341" t="str">
        <f t="shared" si="51"/>
        <v>NC</v>
      </c>
      <c r="AB46" s="341" t="str">
        <f t="shared" si="51"/>
        <v>NC</v>
      </c>
      <c r="AC46" s="341" t="str">
        <f t="shared" si="51"/>
        <v>NC</v>
      </c>
      <c r="AD46" s="341" t="str">
        <f t="shared" si="51"/>
        <v>NC</v>
      </c>
    </row>
    <row r="47" spans="1:30">
      <c r="A47" s="115" t="s">
        <v>184</v>
      </c>
      <c r="B47" s="107" t="s">
        <v>166</v>
      </c>
      <c r="C47" s="334" t="s">
        <v>167</v>
      </c>
      <c r="D47" s="335">
        <v>250</v>
      </c>
      <c r="E47" s="332" t="s">
        <v>15</v>
      </c>
      <c r="F47" s="335">
        <v>1</v>
      </c>
      <c r="G47" s="46">
        <v>15.21</v>
      </c>
      <c r="H47" s="47">
        <v>15.04</v>
      </c>
      <c r="I47" s="46">
        <v>16.2</v>
      </c>
      <c r="J47" s="46">
        <v>15.84</v>
      </c>
      <c r="K47" s="46">
        <v>15.67</v>
      </c>
      <c r="L47" s="47">
        <v>15.34</v>
      </c>
      <c r="M47" s="46">
        <v>16.52</v>
      </c>
      <c r="N47" s="47">
        <v>16.600000000000001</v>
      </c>
      <c r="O47" s="46">
        <v>15.79</v>
      </c>
      <c r="P47" s="47">
        <v>11.14</v>
      </c>
      <c r="Q47" s="46">
        <v>16.809999999999999</v>
      </c>
      <c r="R47" s="47">
        <v>16.239999999999998</v>
      </c>
      <c r="S47" s="46">
        <v>16.82</v>
      </c>
      <c r="T47" s="46">
        <v>16.82</v>
      </c>
      <c r="U47" s="46">
        <v>22.31</v>
      </c>
      <c r="V47" s="47">
        <v>15.36</v>
      </c>
      <c r="W47" s="46">
        <v>17.760000000000002</v>
      </c>
      <c r="X47" s="46">
        <v>14.96</v>
      </c>
      <c r="Y47" s="46"/>
      <c r="Z47" s="47"/>
      <c r="AA47" s="46"/>
      <c r="AB47" s="47"/>
      <c r="AC47" s="46"/>
      <c r="AD47" s="47"/>
    </row>
    <row r="48" spans="1:30">
      <c r="A48" s="110"/>
      <c r="B48" s="112"/>
      <c r="C48" s="336"/>
      <c r="D48" s="333"/>
      <c r="E48" s="337"/>
      <c r="F48" s="333"/>
      <c r="G48" s="342">
        <f t="shared" ref="G48:AD48" si="53">+IF(G47&gt;0,IF(G47&gt;$D47,$F47,0),"")</f>
        <v>0</v>
      </c>
      <c r="H48" s="343">
        <f t="shared" si="53"/>
        <v>0</v>
      </c>
      <c r="I48" s="342">
        <f t="shared" si="53"/>
        <v>0</v>
      </c>
      <c r="J48" s="342">
        <f t="shared" si="53"/>
        <v>0</v>
      </c>
      <c r="K48" s="342">
        <f t="shared" si="53"/>
        <v>0</v>
      </c>
      <c r="L48" s="343">
        <f t="shared" si="53"/>
        <v>0</v>
      </c>
      <c r="M48" s="343">
        <f t="shared" si="53"/>
        <v>0</v>
      </c>
      <c r="N48" s="343">
        <f t="shared" si="53"/>
        <v>0</v>
      </c>
      <c r="O48" s="343">
        <f t="shared" si="53"/>
        <v>0</v>
      </c>
      <c r="P48" s="343">
        <f t="shared" si="53"/>
        <v>0</v>
      </c>
      <c r="Q48" s="343">
        <f t="shared" si="53"/>
        <v>0</v>
      </c>
      <c r="R48" s="343">
        <f t="shared" si="53"/>
        <v>0</v>
      </c>
      <c r="S48" s="343">
        <f t="shared" si="53"/>
        <v>0</v>
      </c>
      <c r="T48" s="343">
        <f t="shared" ref="T48" si="54">+IF(T47&gt;0,IF(T47&gt;$D47,$F47,0),"")</f>
        <v>0</v>
      </c>
      <c r="U48" s="343">
        <f t="shared" si="53"/>
        <v>0</v>
      </c>
      <c r="V48" s="343">
        <f t="shared" si="53"/>
        <v>0</v>
      </c>
      <c r="W48" s="343">
        <f t="shared" si="53"/>
        <v>0</v>
      </c>
      <c r="X48" s="343">
        <f t="shared" si="53"/>
        <v>0</v>
      </c>
      <c r="Y48" s="343" t="str">
        <f t="shared" si="53"/>
        <v/>
      </c>
      <c r="Z48" s="343" t="str">
        <f t="shared" si="53"/>
        <v/>
      </c>
      <c r="AA48" s="343" t="str">
        <f t="shared" si="53"/>
        <v/>
      </c>
      <c r="AB48" s="343" t="str">
        <f t="shared" si="53"/>
        <v/>
      </c>
      <c r="AC48" s="343" t="str">
        <f t="shared" si="53"/>
        <v/>
      </c>
      <c r="AD48" s="343" t="str">
        <f t="shared" si="53"/>
        <v/>
      </c>
    </row>
    <row r="49" spans="1:30">
      <c r="A49" s="110"/>
      <c r="B49" s="112"/>
      <c r="C49" s="336"/>
      <c r="D49" s="333"/>
      <c r="E49" s="337"/>
      <c r="F49" s="333"/>
      <c r="G49" s="340" t="str">
        <f t="shared" ref="G49:AD49" si="55">+IF(G48&gt;0,"NC","C")</f>
        <v>C</v>
      </c>
      <c r="H49" s="341" t="str">
        <f t="shared" si="55"/>
        <v>C</v>
      </c>
      <c r="I49" s="340" t="str">
        <f t="shared" si="55"/>
        <v>C</v>
      </c>
      <c r="J49" s="340" t="str">
        <f t="shared" si="55"/>
        <v>C</v>
      </c>
      <c r="K49" s="340" t="str">
        <f t="shared" si="55"/>
        <v>C</v>
      </c>
      <c r="L49" s="341" t="str">
        <f t="shared" si="55"/>
        <v>C</v>
      </c>
      <c r="M49" s="341" t="str">
        <f t="shared" si="55"/>
        <v>C</v>
      </c>
      <c r="N49" s="341" t="str">
        <f t="shared" si="55"/>
        <v>C</v>
      </c>
      <c r="O49" s="341" t="str">
        <f t="shared" si="55"/>
        <v>C</v>
      </c>
      <c r="P49" s="341" t="str">
        <f t="shared" si="55"/>
        <v>C</v>
      </c>
      <c r="Q49" s="341" t="str">
        <f t="shared" si="55"/>
        <v>C</v>
      </c>
      <c r="R49" s="341" t="str">
        <f t="shared" si="55"/>
        <v>C</v>
      </c>
      <c r="S49" s="341" t="str">
        <f t="shared" si="55"/>
        <v>C</v>
      </c>
      <c r="T49" s="341" t="str">
        <f t="shared" ref="T49" si="56">+IF(T48&gt;0,"NC","C")</f>
        <v>C</v>
      </c>
      <c r="U49" s="341" t="str">
        <f t="shared" si="55"/>
        <v>C</v>
      </c>
      <c r="V49" s="341" t="str">
        <f t="shared" si="55"/>
        <v>C</v>
      </c>
      <c r="W49" s="341" t="str">
        <f t="shared" si="55"/>
        <v>C</v>
      </c>
      <c r="X49" s="341" t="str">
        <f t="shared" si="55"/>
        <v>C</v>
      </c>
      <c r="Y49" s="341" t="str">
        <f t="shared" si="55"/>
        <v>NC</v>
      </c>
      <c r="Z49" s="341" t="str">
        <f t="shared" si="55"/>
        <v>NC</v>
      </c>
      <c r="AA49" s="341" t="str">
        <f t="shared" si="55"/>
        <v>NC</v>
      </c>
      <c r="AB49" s="341" t="str">
        <f t="shared" si="55"/>
        <v>NC</v>
      </c>
      <c r="AC49" s="341" t="str">
        <f t="shared" si="55"/>
        <v>NC</v>
      </c>
      <c r="AD49" s="341" t="str">
        <f t="shared" si="55"/>
        <v>NC</v>
      </c>
    </row>
    <row r="50" spans="1:30">
      <c r="A50" s="115" t="s">
        <v>185</v>
      </c>
      <c r="B50" s="107" t="s">
        <v>166</v>
      </c>
      <c r="C50" s="334" t="s">
        <v>173</v>
      </c>
      <c r="D50" s="335" t="s">
        <v>186</v>
      </c>
      <c r="E50" s="332" t="s">
        <v>15</v>
      </c>
      <c r="F50" s="335">
        <v>15</v>
      </c>
      <c r="G50" s="46">
        <v>1.22</v>
      </c>
      <c r="H50" s="47">
        <v>1.02</v>
      </c>
      <c r="I50" s="46">
        <v>1.22</v>
      </c>
      <c r="J50" s="46">
        <v>1.02</v>
      </c>
      <c r="K50" s="46">
        <v>1.22</v>
      </c>
      <c r="L50" s="47">
        <v>1.02</v>
      </c>
      <c r="M50" s="46">
        <v>1.22</v>
      </c>
      <c r="N50" s="47">
        <v>1.02</v>
      </c>
      <c r="O50" s="46">
        <v>1.02</v>
      </c>
      <c r="P50" s="47">
        <v>1.22</v>
      </c>
      <c r="Q50" s="46">
        <v>1.02</v>
      </c>
      <c r="R50" s="47">
        <v>1.22</v>
      </c>
      <c r="S50" s="46">
        <v>0.41</v>
      </c>
      <c r="T50" s="46">
        <v>0.41</v>
      </c>
      <c r="U50" s="46">
        <v>1.22</v>
      </c>
      <c r="V50" s="47">
        <v>0.82</v>
      </c>
      <c r="W50" s="46">
        <v>1.1299999999999999</v>
      </c>
      <c r="X50" s="46">
        <v>0.82</v>
      </c>
      <c r="Y50" s="46"/>
      <c r="Z50" s="47"/>
      <c r="AA50" s="46"/>
      <c r="AB50" s="47"/>
      <c r="AC50" s="46"/>
      <c r="AD50" s="47"/>
    </row>
    <row r="51" spans="1:30">
      <c r="A51" s="110"/>
      <c r="B51" s="112"/>
      <c r="C51" s="336"/>
      <c r="D51" s="333"/>
      <c r="E51" s="337"/>
      <c r="F51" s="333"/>
      <c r="G51" s="342">
        <f t="shared" ref="G51:AD51" si="57">+IF(G50&gt;0,IF(AND(G50&gt;0.199999999,G50&lt;2.000001),0,$F50),"")</f>
        <v>0</v>
      </c>
      <c r="H51" s="343">
        <f t="shared" si="57"/>
        <v>0</v>
      </c>
      <c r="I51" s="342">
        <f t="shared" si="57"/>
        <v>0</v>
      </c>
      <c r="J51" s="342">
        <f t="shared" si="57"/>
        <v>0</v>
      </c>
      <c r="K51" s="342">
        <f t="shared" si="57"/>
        <v>0</v>
      </c>
      <c r="L51" s="343">
        <f t="shared" si="57"/>
        <v>0</v>
      </c>
      <c r="M51" s="343">
        <f t="shared" si="57"/>
        <v>0</v>
      </c>
      <c r="N51" s="343">
        <f t="shared" si="57"/>
        <v>0</v>
      </c>
      <c r="O51" s="343">
        <f t="shared" si="57"/>
        <v>0</v>
      </c>
      <c r="P51" s="343">
        <f t="shared" si="57"/>
        <v>0</v>
      </c>
      <c r="Q51" s="343">
        <f t="shared" si="57"/>
        <v>0</v>
      </c>
      <c r="R51" s="343">
        <f t="shared" si="57"/>
        <v>0</v>
      </c>
      <c r="S51" s="343">
        <f t="shared" si="57"/>
        <v>0</v>
      </c>
      <c r="T51" s="343">
        <f t="shared" ref="T51" si="58">+IF(T50&gt;0,IF(AND(T50&gt;0.199999999,T50&lt;2.000001),0,$F50),"")</f>
        <v>0</v>
      </c>
      <c r="U51" s="343">
        <f t="shared" si="57"/>
        <v>0</v>
      </c>
      <c r="V51" s="343">
        <f t="shared" si="57"/>
        <v>0</v>
      </c>
      <c r="W51" s="343">
        <f t="shared" si="57"/>
        <v>0</v>
      </c>
      <c r="X51" s="343">
        <f t="shared" si="57"/>
        <v>0</v>
      </c>
      <c r="Y51" s="343" t="str">
        <f t="shared" si="57"/>
        <v/>
      </c>
      <c r="Z51" s="343" t="str">
        <f t="shared" si="57"/>
        <v/>
      </c>
      <c r="AA51" s="343" t="str">
        <f t="shared" si="57"/>
        <v/>
      </c>
      <c r="AB51" s="343" t="str">
        <f t="shared" si="57"/>
        <v/>
      </c>
      <c r="AC51" s="343" t="str">
        <f t="shared" si="57"/>
        <v/>
      </c>
      <c r="AD51" s="343" t="str">
        <f t="shared" si="57"/>
        <v/>
      </c>
    </row>
    <row r="52" spans="1:30">
      <c r="A52" s="110"/>
      <c r="B52" s="112"/>
      <c r="C52" s="336"/>
      <c r="D52" s="333"/>
      <c r="E52" s="337"/>
      <c r="F52" s="333"/>
      <c r="G52" s="340" t="str">
        <f t="shared" ref="G52:AD52" si="59">+IF(G51&gt;0,"NC","C")</f>
        <v>C</v>
      </c>
      <c r="H52" s="341" t="str">
        <f t="shared" si="59"/>
        <v>C</v>
      </c>
      <c r="I52" s="340" t="str">
        <f t="shared" si="59"/>
        <v>C</v>
      </c>
      <c r="J52" s="340" t="str">
        <f t="shared" si="59"/>
        <v>C</v>
      </c>
      <c r="K52" s="340" t="str">
        <f t="shared" si="59"/>
        <v>C</v>
      </c>
      <c r="L52" s="341" t="str">
        <f t="shared" si="59"/>
        <v>C</v>
      </c>
      <c r="M52" s="341" t="str">
        <f t="shared" si="59"/>
        <v>C</v>
      </c>
      <c r="N52" s="341" t="str">
        <f t="shared" si="59"/>
        <v>C</v>
      </c>
      <c r="O52" s="341" t="str">
        <f t="shared" si="59"/>
        <v>C</v>
      </c>
      <c r="P52" s="341" t="str">
        <f t="shared" si="59"/>
        <v>C</v>
      </c>
      <c r="Q52" s="341" t="str">
        <f t="shared" si="59"/>
        <v>C</v>
      </c>
      <c r="R52" s="341" t="str">
        <f t="shared" si="59"/>
        <v>C</v>
      </c>
      <c r="S52" s="341" t="str">
        <f t="shared" si="59"/>
        <v>C</v>
      </c>
      <c r="T52" s="341" t="str">
        <f t="shared" ref="T52" si="60">+IF(T51&gt;0,"NC","C")</f>
        <v>C</v>
      </c>
      <c r="U52" s="341" t="str">
        <f t="shared" si="59"/>
        <v>C</v>
      </c>
      <c r="V52" s="341" t="str">
        <f t="shared" si="59"/>
        <v>C</v>
      </c>
      <c r="W52" s="341" t="str">
        <f t="shared" si="59"/>
        <v>C</v>
      </c>
      <c r="X52" s="341" t="str">
        <f t="shared" si="59"/>
        <v>C</v>
      </c>
      <c r="Y52" s="341" t="str">
        <f t="shared" si="59"/>
        <v>NC</v>
      </c>
      <c r="Z52" s="341" t="str">
        <f t="shared" si="59"/>
        <v>NC</v>
      </c>
      <c r="AA52" s="341" t="str">
        <f t="shared" si="59"/>
        <v>NC</v>
      </c>
      <c r="AB52" s="341" t="str">
        <f t="shared" si="59"/>
        <v>NC</v>
      </c>
      <c r="AC52" s="341" t="str">
        <f t="shared" si="59"/>
        <v>NC</v>
      </c>
      <c r="AD52" s="341" t="str">
        <f t="shared" si="59"/>
        <v>NC</v>
      </c>
    </row>
    <row r="53" spans="1:30">
      <c r="A53" s="117" t="s">
        <v>187</v>
      </c>
      <c r="B53" s="107" t="s">
        <v>166</v>
      </c>
      <c r="C53" s="334" t="s">
        <v>173</v>
      </c>
      <c r="D53" s="335" t="s">
        <v>188</v>
      </c>
      <c r="E53" s="332" t="s">
        <v>15</v>
      </c>
      <c r="F53" s="335">
        <v>1</v>
      </c>
      <c r="G53" s="46">
        <v>0.2</v>
      </c>
      <c r="H53" s="47">
        <v>0.2</v>
      </c>
      <c r="I53" s="46">
        <v>0.2</v>
      </c>
      <c r="J53" s="47">
        <v>0.2</v>
      </c>
      <c r="K53" s="46">
        <v>0.2</v>
      </c>
      <c r="L53" s="46">
        <v>0.2</v>
      </c>
      <c r="M53" s="46">
        <v>0.2</v>
      </c>
      <c r="N53" s="47">
        <v>0.2</v>
      </c>
      <c r="O53" s="46">
        <v>0.2</v>
      </c>
      <c r="P53" s="47">
        <v>0.2</v>
      </c>
      <c r="Q53" s="46">
        <v>0.2</v>
      </c>
      <c r="R53" s="47">
        <v>0.2</v>
      </c>
      <c r="S53" s="47">
        <v>0.2</v>
      </c>
      <c r="T53" s="47">
        <v>0.2</v>
      </c>
      <c r="U53" s="46">
        <v>0.2</v>
      </c>
      <c r="V53" s="47">
        <v>0.2</v>
      </c>
      <c r="W53" s="46">
        <v>0.2</v>
      </c>
      <c r="X53" s="47">
        <v>0.2</v>
      </c>
      <c r="Y53" s="46"/>
      <c r="Z53" s="46"/>
      <c r="AA53" s="46"/>
      <c r="AB53" s="47"/>
      <c r="AC53" s="46"/>
      <c r="AD53" s="47"/>
    </row>
    <row r="54" spans="1:30">
      <c r="A54" s="112"/>
      <c r="B54" s="112"/>
      <c r="C54" s="336"/>
      <c r="D54" s="333"/>
      <c r="E54" s="337"/>
      <c r="F54" s="333"/>
      <c r="G54" s="342">
        <f t="shared" ref="G54:AD54" si="61">+IF(G53&gt;0,IF(AND(G53&gt;0,G53&lt;0.500000000001),0,$F53),"")</f>
        <v>0</v>
      </c>
      <c r="H54" s="343">
        <f t="shared" si="61"/>
        <v>0</v>
      </c>
      <c r="I54" s="342">
        <f t="shared" si="61"/>
        <v>0</v>
      </c>
      <c r="J54" s="342">
        <f t="shared" si="61"/>
        <v>0</v>
      </c>
      <c r="K54" s="342">
        <f t="shared" si="61"/>
        <v>0</v>
      </c>
      <c r="L54" s="343">
        <f t="shared" si="61"/>
        <v>0</v>
      </c>
      <c r="M54" s="343">
        <f t="shared" si="61"/>
        <v>0</v>
      </c>
      <c r="N54" s="343">
        <f t="shared" si="61"/>
        <v>0</v>
      </c>
      <c r="O54" s="343">
        <f t="shared" si="61"/>
        <v>0</v>
      </c>
      <c r="P54" s="343">
        <f t="shared" si="61"/>
        <v>0</v>
      </c>
      <c r="Q54" s="343">
        <f t="shared" si="61"/>
        <v>0</v>
      </c>
      <c r="R54" s="343">
        <f t="shared" si="61"/>
        <v>0</v>
      </c>
      <c r="S54" s="343">
        <f t="shared" si="61"/>
        <v>0</v>
      </c>
      <c r="T54" s="343">
        <f t="shared" ref="T54" si="62">+IF(T53&gt;0,IF(AND(T53&gt;0,T53&lt;0.500000000001),0,$F53),"")</f>
        <v>0</v>
      </c>
      <c r="U54" s="343">
        <f t="shared" si="61"/>
        <v>0</v>
      </c>
      <c r="V54" s="343">
        <f t="shared" si="61"/>
        <v>0</v>
      </c>
      <c r="W54" s="343">
        <f t="shared" si="61"/>
        <v>0</v>
      </c>
      <c r="X54" s="343">
        <f t="shared" si="61"/>
        <v>0</v>
      </c>
      <c r="Y54" s="343" t="str">
        <f t="shared" si="61"/>
        <v/>
      </c>
      <c r="Z54" s="343" t="str">
        <f t="shared" si="61"/>
        <v/>
      </c>
      <c r="AA54" s="343" t="str">
        <f t="shared" si="61"/>
        <v/>
      </c>
      <c r="AB54" s="343" t="str">
        <f t="shared" si="61"/>
        <v/>
      </c>
      <c r="AC54" s="343" t="str">
        <f t="shared" si="61"/>
        <v/>
      </c>
      <c r="AD54" s="343" t="str">
        <f t="shared" si="61"/>
        <v/>
      </c>
    </row>
    <row r="55" spans="1:30">
      <c r="A55" s="108"/>
      <c r="B55" s="112"/>
      <c r="C55" s="336"/>
      <c r="D55" s="333"/>
      <c r="E55" s="337"/>
      <c r="F55" s="333"/>
      <c r="G55" s="340" t="str">
        <f t="shared" ref="G55:AD55" si="63">+IF(G54&gt;0,"NC","C")</f>
        <v>C</v>
      </c>
      <c r="H55" s="341" t="str">
        <f t="shared" si="63"/>
        <v>C</v>
      </c>
      <c r="I55" s="340" t="str">
        <f t="shared" si="63"/>
        <v>C</v>
      </c>
      <c r="J55" s="340" t="str">
        <f t="shared" si="63"/>
        <v>C</v>
      </c>
      <c r="K55" s="340" t="str">
        <f t="shared" si="63"/>
        <v>C</v>
      </c>
      <c r="L55" s="341" t="str">
        <f t="shared" si="63"/>
        <v>C</v>
      </c>
      <c r="M55" s="341" t="str">
        <f t="shared" si="63"/>
        <v>C</v>
      </c>
      <c r="N55" s="341" t="str">
        <f t="shared" si="63"/>
        <v>C</v>
      </c>
      <c r="O55" s="341" t="str">
        <f t="shared" si="63"/>
        <v>C</v>
      </c>
      <c r="P55" s="341" t="str">
        <f t="shared" si="63"/>
        <v>C</v>
      </c>
      <c r="Q55" s="341" t="str">
        <f t="shared" si="63"/>
        <v>C</v>
      </c>
      <c r="R55" s="341" t="str">
        <f t="shared" si="63"/>
        <v>C</v>
      </c>
      <c r="S55" s="341" t="str">
        <f t="shared" si="63"/>
        <v>C</v>
      </c>
      <c r="T55" s="341" t="str">
        <f t="shared" ref="T55" si="64">+IF(T54&gt;0,"NC","C")</f>
        <v>C</v>
      </c>
      <c r="U55" s="341" t="str">
        <f t="shared" si="63"/>
        <v>C</v>
      </c>
      <c r="V55" s="341" t="str">
        <f t="shared" si="63"/>
        <v>C</v>
      </c>
      <c r="W55" s="341" t="str">
        <f t="shared" si="63"/>
        <v>C</v>
      </c>
      <c r="X55" s="341" t="str">
        <f t="shared" si="63"/>
        <v>C</v>
      </c>
      <c r="Y55" s="341" t="str">
        <f t="shared" si="63"/>
        <v>NC</v>
      </c>
      <c r="Z55" s="341" t="str">
        <f t="shared" si="63"/>
        <v>NC</v>
      </c>
      <c r="AA55" s="341" t="str">
        <f t="shared" si="63"/>
        <v>NC</v>
      </c>
      <c r="AB55" s="341" t="str">
        <f t="shared" si="63"/>
        <v>NC</v>
      </c>
      <c r="AC55" s="341" t="str">
        <f t="shared" si="63"/>
        <v>NC</v>
      </c>
      <c r="AD55" s="341" t="str">
        <f t="shared" si="63"/>
        <v>NC</v>
      </c>
    </row>
    <row r="56" spans="1:30">
      <c r="A56" s="116" t="s">
        <v>189</v>
      </c>
      <c r="B56" s="107" t="s">
        <v>166</v>
      </c>
      <c r="C56" s="334" t="s">
        <v>173</v>
      </c>
      <c r="D56" s="335" t="s">
        <v>190</v>
      </c>
      <c r="E56" s="332" t="s">
        <v>15</v>
      </c>
      <c r="F56" s="335">
        <v>1</v>
      </c>
      <c r="G56" s="46">
        <v>15.87</v>
      </c>
      <c r="H56" s="47">
        <v>16.559999999999999</v>
      </c>
      <c r="I56" s="46">
        <v>19.32</v>
      </c>
      <c r="J56" s="46">
        <v>16.46</v>
      </c>
      <c r="K56" s="46">
        <v>17.88</v>
      </c>
      <c r="L56" s="47">
        <v>18.059999999999999</v>
      </c>
      <c r="M56" s="46">
        <v>18.260000000000002</v>
      </c>
      <c r="N56" s="47">
        <v>17.66</v>
      </c>
      <c r="O56" s="46">
        <v>16.03</v>
      </c>
      <c r="P56" s="47">
        <v>13.05</v>
      </c>
      <c r="Q56" s="46">
        <v>16.216999999999999</v>
      </c>
      <c r="R56" s="47">
        <v>8.593</v>
      </c>
      <c r="S56" s="47">
        <v>13.287000000000001</v>
      </c>
      <c r="T56" s="47">
        <v>13.287000000000001</v>
      </c>
      <c r="U56" s="46">
        <v>26.061</v>
      </c>
      <c r="V56" s="47">
        <v>18.074999999999999</v>
      </c>
      <c r="W56" s="46">
        <v>8.1969999999999992</v>
      </c>
      <c r="X56" s="46">
        <v>10.337999999999999</v>
      </c>
      <c r="Y56" s="46"/>
      <c r="Z56" s="47"/>
      <c r="AA56" s="46"/>
      <c r="AB56" s="47"/>
      <c r="AC56" s="46"/>
      <c r="AD56" s="47"/>
    </row>
    <row r="57" spans="1:30">
      <c r="A57" s="110"/>
      <c r="B57" s="112"/>
      <c r="C57" s="336"/>
      <c r="D57" s="333"/>
      <c r="E57" s="337"/>
      <c r="F57" s="333"/>
      <c r="G57" s="342">
        <f t="shared" ref="G57:AD57" si="65">+IF(G56&gt;0,IF(AND(G56&gt;0,G56&lt;60.000001),0,$F56),"")</f>
        <v>0</v>
      </c>
      <c r="H57" s="343">
        <f t="shared" si="65"/>
        <v>0</v>
      </c>
      <c r="I57" s="342">
        <f t="shared" si="65"/>
        <v>0</v>
      </c>
      <c r="J57" s="342">
        <f t="shared" si="65"/>
        <v>0</v>
      </c>
      <c r="K57" s="342">
        <f t="shared" si="65"/>
        <v>0</v>
      </c>
      <c r="L57" s="343">
        <f t="shared" si="65"/>
        <v>0</v>
      </c>
      <c r="M57" s="343">
        <f t="shared" si="65"/>
        <v>0</v>
      </c>
      <c r="N57" s="343">
        <f t="shared" si="65"/>
        <v>0</v>
      </c>
      <c r="O57" s="343">
        <f t="shared" si="65"/>
        <v>0</v>
      </c>
      <c r="P57" s="343">
        <f t="shared" si="65"/>
        <v>0</v>
      </c>
      <c r="Q57" s="343">
        <f t="shared" si="65"/>
        <v>0</v>
      </c>
      <c r="R57" s="343">
        <f t="shared" si="65"/>
        <v>0</v>
      </c>
      <c r="S57" s="343">
        <f t="shared" si="65"/>
        <v>0</v>
      </c>
      <c r="T57" s="343">
        <f t="shared" ref="T57" si="66">+IF(T56&gt;0,IF(AND(T56&gt;0,T56&lt;60.000001),0,$F56),"")</f>
        <v>0</v>
      </c>
      <c r="U57" s="343">
        <f t="shared" si="65"/>
        <v>0</v>
      </c>
      <c r="V57" s="343">
        <f t="shared" si="65"/>
        <v>0</v>
      </c>
      <c r="W57" s="343">
        <f t="shared" si="65"/>
        <v>0</v>
      </c>
      <c r="X57" s="343">
        <f t="shared" si="65"/>
        <v>0</v>
      </c>
      <c r="Y57" s="343" t="str">
        <f t="shared" si="65"/>
        <v/>
      </c>
      <c r="Z57" s="343" t="str">
        <f t="shared" si="65"/>
        <v/>
      </c>
      <c r="AA57" s="343" t="str">
        <f t="shared" si="65"/>
        <v/>
      </c>
      <c r="AB57" s="343" t="str">
        <f t="shared" si="65"/>
        <v/>
      </c>
      <c r="AC57" s="343" t="str">
        <f t="shared" si="65"/>
        <v/>
      </c>
      <c r="AD57" s="343" t="str">
        <f t="shared" si="65"/>
        <v/>
      </c>
    </row>
    <row r="58" spans="1:30">
      <c r="A58" s="110"/>
      <c r="B58" s="112"/>
      <c r="C58" s="336"/>
      <c r="D58" s="333"/>
      <c r="E58" s="337"/>
      <c r="F58" s="333"/>
      <c r="G58" s="340" t="s">
        <v>160</v>
      </c>
      <c r="H58" s="341" t="s">
        <v>160</v>
      </c>
      <c r="I58" s="340" t="str">
        <f t="shared" ref="I58:AD58" si="67">+IF(I57&gt;0,"NC","C")</f>
        <v>C</v>
      </c>
      <c r="J58" s="340" t="str">
        <f t="shared" si="67"/>
        <v>C</v>
      </c>
      <c r="K58" s="340" t="str">
        <f t="shared" si="67"/>
        <v>C</v>
      </c>
      <c r="L58" s="341" t="str">
        <f t="shared" si="67"/>
        <v>C</v>
      </c>
      <c r="M58" s="341" t="str">
        <f t="shared" si="67"/>
        <v>C</v>
      </c>
      <c r="N58" s="341" t="str">
        <f t="shared" si="67"/>
        <v>C</v>
      </c>
      <c r="O58" s="341" t="str">
        <f t="shared" si="67"/>
        <v>C</v>
      </c>
      <c r="P58" s="341" t="str">
        <f t="shared" si="67"/>
        <v>C</v>
      </c>
      <c r="Q58" s="341" t="str">
        <f t="shared" si="67"/>
        <v>C</v>
      </c>
      <c r="R58" s="341" t="str">
        <f t="shared" si="67"/>
        <v>C</v>
      </c>
      <c r="S58" s="341" t="str">
        <f t="shared" si="67"/>
        <v>C</v>
      </c>
      <c r="T58" s="341" t="str">
        <f t="shared" ref="T58" si="68">+IF(T57&gt;0,"NC","C")</f>
        <v>C</v>
      </c>
      <c r="U58" s="341" t="str">
        <f t="shared" si="67"/>
        <v>C</v>
      </c>
      <c r="V58" s="341" t="str">
        <f t="shared" si="67"/>
        <v>C</v>
      </c>
      <c r="W58" s="341" t="str">
        <f t="shared" si="67"/>
        <v>C</v>
      </c>
      <c r="X58" s="341" t="str">
        <f t="shared" si="67"/>
        <v>C</v>
      </c>
      <c r="Y58" s="341" t="str">
        <f t="shared" si="67"/>
        <v>NC</v>
      </c>
      <c r="Z58" s="341" t="str">
        <f t="shared" si="67"/>
        <v>NC</v>
      </c>
      <c r="AA58" s="341" t="str">
        <f t="shared" si="67"/>
        <v>NC</v>
      </c>
      <c r="AB58" s="341" t="str">
        <f t="shared" si="67"/>
        <v>NC</v>
      </c>
      <c r="AC58" s="341" t="str">
        <f t="shared" si="67"/>
        <v>NC</v>
      </c>
      <c r="AD58" s="341" t="str">
        <f t="shared" si="67"/>
        <v>NC</v>
      </c>
    </row>
    <row r="59" spans="1:30">
      <c r="A59" s="115" t="s">
        <v>191</v>
      </c>
      <c r="B59" s="107" t="s">
        <v>192</v>
      </c>
      <c r="C59" s="334" t="s">
        <v>173</v>
      </c>
      <c r="D59" s="335" t="s">
        <v>193</v>
      </c>
      <c r="E59" s="332" t="s">
        <v>15</v>
      </c>
      <c r="F59" s="335">
        <v>15</v>
      </c>
      <c r="G59" s="46">
        <v>0</v>
      </c>
      <c r="H59" s="47">
        <v>0</v>
      </c>
      <c r="I59" s="46">
        <v>0</v>
      </c>
      <c r="J59" s="46">
        <v>0</v>
      </c>
      <c r="K59" s="46">
        <v>0</v>
      </c>
      <c r="L59" s="46">
        <v>0</v>
      </c>
      <c r="M59" s="46">
        <v>0</v>
      </c>
      <c r="N59" s="47">
        <v>0</v>
      </c>
      <c r="O59" s="46">
        <v>0</v>
      </c>
      <c r="P59" s="47">
        <v>0</v>
      </c>
      <c r="Q59" s="46">
        <v>0</v>
      </c>
      <c r="R59" s="47">
        <v>0</v>
      </c>
      <c r="S59" s="47">
        <v>0</v>
      </c>
      <c r="T59" s="47">
        <v>0</v>
      </c>
      <c r="U59" s="47">
        <v>0</v>
      </c>
      <c r="V59" s="47">
        <v>0</v>
      </c>
      <c r="W59" s="47">
        <v>0</v>
      </c>
      <c r="X59" s="47">
        <v>0</v>
      </c>
      <c r="Y59" s="46"/>
      <c r="Z59" s="46"/>
      <c r="AA59" s="46"/>
      <c r="AB59" s="46"/>
      <c r="AC59" s="46"/>
      <c r="AD59" s="47"/>
    </row>
    <row r="60" spans="1:30">
      <c r="A60" s="110"/>
      <c r="B60" s="112"/>
      <c r="C60" s="336"/>
      <c r="D60" s="333"/>
      <c r="E60" s="337"/>
      <c r="F60" s="333"/>
      <c r="G60" s="342">
        <f t="shared" ref="G60:AD60" si="69">+IF(G59&gt;0,$F59,0)</f>
        <v>0</v>
      </c>
      <c r="H60" s="343">
        <f t="shared" si="69"/>
        <v>0</v>
      </c>
      <c r="I60" s="342">
        <f t="shared" si="69"/>
        <v>0</v>
      </c>
      <c r="J60" s="342">
        <f t="shared" si="69"/>
        <v>0</v>
      </c>
      <c r="K60" s="342">
        <f t="shared" si="69"/>
        <v>0</v>
      </c>
      <c r="L60" s="343">
        <f t="shared" si="69"/>
        <v>0</v>
      </c>
      <c r="M60" s="343">
        <f t="shared" si="69"/>
        <v>0</v>
      </c>
      <c r="N60" s="343">
        <f t="shared" si="69"/>
        <v>0</v>
      </c>
      <c r="O60" s="343">
        <f t="shared" si="69"/>
        <v>0</v>
      </c>
      <c r="P60" s="343">
        <f t="shared" si="69"/>
        <v>0</v>
      </c>
      <c r="Q60" s="343">
        <f t="shared" si="69"/>
        <v>0</v>
      </c>
      <c r="R60" s="343">
        <f t="shared" si="69"/>
        <v>0</v>
      </c>
      <c r="S60" s="343">
        <f t="shared" si="69"/>
        <v>0</v>
      </c>
      <c r="T60" s="343">
        <f t="shared" ref="T60" si="70">+IF(T59&gt;0,$F59,0)</f>
        <v>0</v>
      </c>
      <c r="U60" s="343">
        <f t="shared" si="69"/>
        <v>0</v>
      </c>
      <c r="V60" s="343">
        <f t="shared" si="69"/>
        <v>0</v>
      </c>
      <c r="W60" s="343">
        <f t="shared" si="69"/>
        <v>0</v>
      </c>
      <c r="X60" s="343">
        <f t="shared" si="69"/>
        <v>0</v>
      </c>
      <c r="Y60" s="343">
        <f t="shared" si="69"/>
        <v>0</v>
      </c>
      <c r="Z60" s="343">
        <f t="shared" si="69"/>
        <v>0</v>
      </c>
      <c r="AA60" s="343">
        <f t="shared" si="69"/>
        <v>0</v>
      </c>
      <c r="AB60" s="343">
        <f t="shared" si="69"/>
        <v>0</v>
      </c>
      <c r="AC60" s="343">
        <f t="shared" si="69"/>
        <v>0</v>
      </c>
      <c r="AD60" s="343">
        <f t="shared" si="69"/>
        <v>0</v>
      </c>
    </row>
    <row r="61" spans="1:30">
      <c r="A61" s="110"/>
      <c r="B61" s="112"/>
      <c r="C61" s="336"/>
      <c r="D61" s="333"/>
      <c r="E61" s="337"/>
      <c r="F61" s="333"/>
      <c r="G61" s="340" t="str">
        <f t="shared" ref="G61:AD61" si="71">+IF(G60&gt;0,"NC","C")</f>
        <v>C</v>
      </c>
      <c r="H61" s="341" t="str">
        <f t="shared" si="71"/>
        <v>C</v>
      </c>
      <c r="I61" s="340" t="str">
        <f t="shared" si="71"/>
        <v>C</v>
      </c>
      <c r="J61" s="340" t="str">
        <f t="shared" si="71"/>
        <v>C</v>
      </c>
      <c r="K61" s="340" t="str">
        <f t="shared" si="71"/>
        <v>C</v>
      </c>
      <c r="L61" s="341" t="str">
        <f t="shared" si="71"/>
        <v>C</v>
      </c>
      <c r="M61" s="341" t="str">
        <f t="shared" si="71"/>
        <v>C</v>
      </c>
      <c r="N61" s="341" t="str">
        <f t="shared" si="71"/>
        <v>C</v>
      </c>
      <c r="O61" s="341" t="str">
        <f t="shared" si="71"/>
        <v>C</v>
      </c>
      <c r="P61" s="341" t="str">
        <f t="shared" si="71"/>
        <v>C</v>
      </c>
      <c r="Q61" s="341" t="str">
        <f t="shared" si="71"/>
        <v>C</v>
      </c>
      <c r="R61" s="341" t="str">
        <f t="shared" si="71"/>
        <v>C</v>
      </c>
      <c r="S61" s="341" t="str">
        <f t="shared" si="71"/>
        <v>C</v>
      </c>
      <c r="T61" s="341" t="str">
        <f t="shared" ref="T61" si="72">+IF(T60&gt;0,"NC","C")</f>
        <v>C</v>
      </c>
      <c r="U61" s="341" t="str">
        <f t="shared" si="71"/>
        <v>C</v>
      </c>
      <c r="V61" s="341" t="str">
        <f t="shared" si="71"/>
        <v>C</v>
      </c>
      <c r="W61" s="341" t="str">
        <f t="shared" si="71"/>
        <v>C</v>
      </c>
      <c r="X61" s="341" t="str">
        <f t="shared" si="71"/>
        <v>C</v>
      </c>
      <c r="Y61" s="341" t="str">
        <f t="shared" si="71"/>
        <v>C</v>
      </c>
      <c r="Z61" s="341" t="str">
        <f t="shared" si="71"/>
        <v>C</v>
      </c>
      <c r="AA61" s="341" t="str">
        <f t="shared" si="71"/>
        <v>C</v>
      </c>
      <c r="AB61" s="341" t="str">
        <f t="shared" si="71"/>
        <v>C</v>
      </c>
      <c r="AC61" s="341" t="str">
        <f t="shared" si="71"/>
        <v>C</v>
      </c>
      <c r="AD61" s="341" t="str">
        <f t="shared" si="71"/>
        <v>C</v>
      </c>
    </row>
    <row r="62" spans="1:30">
      <c r="A62" s="115" t="s">
        <v>194</v>
      </c>
      <c r="B62" s="107" t="s">
        <v>192</v>
      </c>
      <c r="C62" s="334" t="s">
        <v>173</v>
      </c>
      <c r="D62" s="335" t="s">
        <v>193</v>
      </c>
      <c r="E62" s="332" t="s">
        <v>15</v>
      </c>
      <c r="F62" s="335">
        <v>25</v>
      </c>
      <c r="G62" s="46">
        <v>0</v>
      </c>
      <c r="H62" s="47">
        <v>0</v>
      </c>
      <c r="I62" s="46">
        <v>0</v>
      </c>
      <c r="J62" s="46">
        <v>0</v>
      </c>
      <c r="K62" s="46">
        <v>0</v>
      </c>
      <c r="L62" s="46">
        <v>0</v>
      </c>
      <c r="M62" s="46">
        <v>0</v>
      </c>
      <c r="N62" s="47">
        <v>0</v>
      </c>
      <c r="O62" s="46">
        <v>0</v>
      </c>
      <c r="P62" s="47">
        <v>0</v>
      </c>
      <c r="Q62" s="46">
        <v>0</v>
      </c>
      <c r="R62" s="47">
        <v>0</v>
      </c>
      <c r="S62" s="47">
        <v>0</v>
      </c>
      <c r="T62" s="47">
        <v>0</v>
      </c>
      <c r="U62" s="47">
        <v>0</v>
      </c>
      <c r="V62" s="47">
        <v>0</v>
      </c>
      <c r="W62" s="47">
        <v>0</v>
      </c>
      <c r="X62" s="47">
        <v>0</v>
      </c>
      <c r="Y62" s="46"/>
      <c r="Z62" s="46"/>
      <c r="AA62" s="46"/>
      <c r="AB62" s="46"/>
      <c r="AC62" s="46"/>
      <c r="AD62" s="47"/>
    </row>
    <row r="63" spans="1:30">
      <c r="A63" s="110"/>
      <c r="B63" s="112"/>
      <c r="C63" s="336"/>
      <c r="D63" s="333"/>
      <c r="E63" s="337"/>
      <c r="F63" s="333"/>
      <c r="G63" s="342">
        <f t="shared" ref="G63:AD63" si="73">+IF(G62&gt;0,$F62,0)</f>
        <v>0</v>
      </c>
      <c r="H63" s="343">
        <f t="shared" si="73"/>
        <v>0</v>
      </c>
      <c r="I63" s="342">
        <f t="shared" si="73"/>
        <v>0</v>
      </c>
      <c r="J63" s="342">
        <f t="shared" si="73"/>
        <v>0</v>
      </c>
      <c r="K63" s="342">
        <f t="shared" si="73"/>
        <v>0</v>
      </c>
      <c r="L63" s="343">
        <f t="shared" si="73"/>
        <v>0</v>
      </c>
      <c r="M63" s="343">
        <f t="shared" si="73"/>
        <v>0</v>
      </c>
      <c r="N63" s="343">
        <f t="shared" si="73"/>
        <v>0</v>
      </c>
      <c r="O63" s="343">
        <f t="shared" si="73"/>
        <v>0</v>
      </c>
      <c r="P63" s="343">
        <f t="shared" si="73"/>
        <v>0</v>
      </c>
      <c r="Q63" s="343">
        <f t="shared" si="73"/>
        <v>0</v>
      </c>
      <c r="R63" s="343">
        <f t="shared" si="73"/>
        <v>0</v>
      </c>
      <c r="S63" s="343">
        <f t="shared" si="73"/>
        <v>0</v>
      </c>
      <c r="T63" s="343">
        <f t="shared" ref="T63" si="74">+IF(T62&gt;0,$F62,0)</f>
        <v>0</v>
      </c>
      <c r="U63" s="343">
        <f t="shared" si="73"/>
        <v>0</v>
      </c>
      <c r="V63" s="343">
        <f t="shared" si="73"/>
        <v>0</v>
      </c>
      <c r="W63" s="343">
        <f t="shared" si="73"/>
        <v>0</v>
      </c>
      <c r="X63" s="343">
        <f t="shared" si="73"/>
        <v>0</v>
      </c>
      <c r="Y63" s="343">
        <f t="shared" si="73"/>
        <v>0</v>
      </c>
      <c r="Z63" s="343">
        <f t="shared" si="73"/>
        <v>0</v>
      </c>
      <c r="AA63" s="343">
        <f t="shared" si="73"/>
        <v>0</v>
      </c>
      <c r="AB63" s="343">
        <f t="shared" si="73"/>
        <v>0</v>
      </c>
      <c r="AC63" s="343">
        <f t="shared" si="73"/>
        <v>0</v>
      </c>
      <c r="AD63" s="343">
        <f t="shared" si="73"/>
        <v>0</v>
      </c>
    </row>
    <row r="64" spans="1:30">
      <c r="A64" s="110"/>
      <c r="B64" s="112"/>
      <c r="C64" s="336"/>
      <c r="D64" s="333"/>
      <c r="E64" s="337"/>
      <c r="F64" s="333"/>
      <c r="G64" s="340" t="str">
        <f t="shared" ref="G64:AD64" si="75">+IF(G63&gt;0,"NC","C")</f>
        <v>C</v>
      </c>
      <c r="H64" s="341" t="str">
        <f t="shared" si="75"/>
        <v>C</v>
      </c>
      <c r="I64" s="340" t="str">
        <f t="shared" si="75"/>
        <v>C</v>
      </c>
      <c r="J64" s="340" t="str">
        <f t="shared" si="75"/>
        <v>C</v>
      </c>
      <c r="K64" s="340" t="str">
        <f t="shared" si="75"/>
        <v>C</v>
      </c>
      <c r="L64" s="341" t="str">
        <f t="shared" si="75"/>
        <v>C</v>
      </c>
      <c r="M64" s="341" t="str">
        <f t="shared" si="75"/>
        <v>C</v>
      </c>
      <c r="N64" s="341" t="str">
        <f t="shared" si="75"/>
        <v>C</v>
      </c>
      <c r="O64" s="341" t="str">
        <f t="shared" si="75"/>
        <v>C</v>
      </c>
      <c r="P64" s="341" t="str">
        <f t="shared" si="75"/>
        <v>C</v>
      </c>
      <c r="Q64" s="341" t="str">
        <f t="shared" si="75"/>
        <v>C</v>
      </c>
      <c r="R64" s="341" t="str">
        <f t="shared" si="75"/>
        <v>C</v>
      </c>
      <c r="S64" s="341" t="str">
        <f t="shared" si="75"/>
        <v>C</v>
      </c>
      <c r="T64" s="341" t="str">
        <f t="shared" ref="T64" si="76">+IF(T63&gt;0,"NC","C")</f>
        <v>C</v>
      </c>
      <c r="U64" s="341" t="str">
        <f t="shared" si="75"/>
        <v>C</v>
      </c>
      <c r="V64" s="341" t="str">
        <f t="shared" si="75"/>
        <v>C</v>
      </c>
      <c r="W64" s="341" t="str">
        <f t="shared" si="75"/>
        <v>C</v>
      </c>
      <c r="X64" s="341" t="str">
        <f t="shared" si="75"/>
        <v>C</v>
      </c>
      <c r="Y64" s="341" t="str">
        <f t="shared" si="75"/>
        <v>C</v>
      </c>
      <c r="Z64" s="341" t="str">
        <f t="shared" si="75"/>
        <v>C</v>
      </c>
      <c r="AA64" s="341" t="str">
        <f t="shared" si="75"/>
        <v>C</v>
      </c>
      <c r="AB64" s="341" t="str">
        <f t="shared" si="75"/>
        <v>C</v>
      </c>
      <c r="AC64" s="341" t="str">
        <f t="shared" si="75"/>
        <v>C</v>
      </c>
      <c r="AD64" s="341" t="str">
        <f t="shared" si="75"/>
        <v>C</v>
      </c>
    </row>
    <row r="65" spans="1:30">
      <c r="A65" s="118" t="s">
        <v>195</v>
      </c>
      <c r="B65" s="107" t="s">
        <v>196</v>
      </c>
      <c r="C65" s="334" t="s">
        <v>197</v>
      </c>
      <c r="D65" s="335">
        <v>1</v>
      </c>
      <c r="E65" s="332" t="s">
        <v>15</v>
      </c>
      <c r="F65" s="335">
        <v>1</v>
      </c>
      <c r="G65" s="46">
        <v>0.21</v>
      </c>
      <c r="H65" s="47">
        <v>0.23</v>
      </c>
      <c r="I65" s="46">
        <v>0.2</v>
      </c>
      <c r="J65" s="46">
        <v>0.05</v>
      </c>
      <c r="K65" s="46">
        <v>0.05</v>
      </c>
      <c r="L65" s="46">
        <v>0.18</v>
      </c>
      <c r="M65" s="46">
        <v>0.2</v>
      </c>
      <c r="N65" s="47">
        <v>0.05</v>
      </c>
      <c r="O65" s="46">
        <v>0.21</v>
      </c>
      <c r="P65" s="47">
        <v>0.18</v>
      </c>
      <c r="Q65" s="46">
        <v>0.19</v>
      </c>
      <c r="R65" s="47">
        <v>0.2</v>
      </c>
      <c r="S65" s="46">
        <v>0.18</v>
      </c>
      <c r="T65" s="46">
        <v>0.18</v>
      </c>
      <c r="U65" s="46">
        <v>0.15</v>
      </c>
      <c r="V65" s="47">
        <v>0.27</v>
      </c>
      <c r="W65" s="46">
        <v>0.23</v>
      </c>
      <c r="X65" s="46">
        <v>0.19</v>
      </c>
      <c r="Y65" s="46"/>
      <c r="Z65" s="47"/>
      <c r="AA65" s="47"/>
      <c r="AB65" s="47"/>
      <c r="AC65" s="46"/>
      <c r="AD65" s="47"/>
    </row>
    <row r="66" spans="1:30">
      <c r="A66" s="90"/>
      <c r="B66" s="112"/>
      <c r="C66" s="336"/>
      <c r="D66" s="333"/>
      <c r="E66" s="337"/>
      <c r="F66" s="333"/>
      <c r="G66" s="342">
        <f t="shared" ref="G66:AD66" si="77">+IF(G65&gt;1.0000001,$F65,0)</f>
        <v>0</v>
      </c>
      <c r="H66" s="343">
        <f t="shared" si="77"/>
        <v>0</v>
      </c>
      <c r="I66" s="342">
        <f t="shared" si="77"/>
        <v>0</v>
      </c>
      <c r="J66" s="342">
        <f t="shared" si="77"/>
        <v>0</v>
      </c>
      <c r="K66" s="342">
        <f t="shared" si="77"/>
        <v>0</v>
      </c>
      <c r="L66" s="343">
        <f t="shared" si="77"/>
        <v>0</v>
      </c>
      <c r="M66" s="343">
        <f t="shared" si="77"/>
        <v>0</v>
      </c>
      <c r="N66" s="343">
        <f t="shared" si="77"/>
        <v>0</v>
      </c>
      <c r="O66" s="343">
        <f t="shared" si="77"/>
        <v>0</v>
      </c>
      <c r="P66" s="343">
        <f t="shared" si="77"/>
        <v>0</v>
      </c>
      <c r="Q66" s="343">
        <f t="shared" si="77"/>
        <v>0</v>
      </c>
      <c r="R66" s="343">
        <f t="shared" si="77"/>
        <v>0</v>
      </c>
      <c r="S66" s="343">
        <f t="shared" si="77"/>
        <v>0</v>
      </c>
      <c r="T66" s="343">
        <f t="shared" ref="T66" si="78">+IF(T65&gt;1.0000001,$F65,0)</f>
        <v>0</v>
      </c>
      <c r="U66" s="343">
        <f t="shared" si="77"/>
        <v>0</v>
      </c>
      <c r="V66" s="343">
        <f t="shared" si="77"/>
        <v>0</v>
      </c>
      <c r="W66" s="343">
        <f t="shared" si="77"/>
        <v>0</v>
      </c>
      <c r="X66" s="343">
        <f t="shared" si="77"/>
        <v>0</v>
      </c>
      <c r="Y66" s="343">
        <f t="shared" si="77"/>
        <v>0</v>
      </c>
      <c r="Z66" s="343">
        <f t="shared" si="77"/>
        <v>0</v>
      </c>
      <c r="AA66" s="343">
        <f t="shared" si="77"/>
        <v>0</v>
      </c>
      <c r="AB66" s="343">
        <f t="shared" si="77"/>
        <v>0</v>
      </c>
      <c r="AC66" s="343">
        <f t="shared" si="77"/>
        <v>0</v>
      </c>
      <c r="AD66" s="343">
        <f t="shared" si="77"/>
        <v>0</v>
      </c>
    </row>
    <row r="67" spans="1:30">
      <c r="A67" s="90"/>
      <c r="B67" s="112"/>
      <c r="C67" s="336"/>
      <c r="D67" s="333"/>
      <c r="E67" s="337"/>
      <c r="F67" s="333"/>
      <c r="G67" s="340" t="str">
        <f t="shared" ref="G67:AD67" si="79">+IF(G66&gt;0,"NC","C")</f>
        <v>C</v>
      </c>
      <c r="H67" s="341" t="str">
        <f t="shared" si="79"/>
        <v>C</v>
      </c>
      <c r="I67" s="340" t="str">
        <f t="shared" si="79"/>
        <v>C</v>
      </c>
      <c r="J67" s="340" t="str">
        <f t="shared" si="79"/>
        <v>C</v>
      </c>
      <c r="K67" s="340" t="str">
        <f t="shared" si="79"/>
        <v>C</v>
      </c>
      <c r="L67" s="341" t="str">
        <f t="shared" si="79"/>
        <v>C</v>
      </c>
      <c r="M67" s="341" t="str">
        <f t="shared" si="79"/>
        <v>C</v>
      </c>
      <c r="N67" s="341" t="str">
        <f t="shared" si="79"/>
        <v>C</v>
      </c>
      <c r="O67" s="341" t="str">
        <f t="shared" si="79"/>
        <v>C</v>
      </c>
      <c r="P67" s="341" t="str">
        <f t="shared" si="79"/>
        <v>C</v>
      </c>
      <c r="Q67" s="341" t="str">
        <f t="shared" si="79"/>
        <v>C</v>
      </c>
      <c r="R67" s="341" t="str">
        <f t="shared" si="79"/>
        <v>C</v>
      </c>
      <c r="S67" s="341" t="str">
        <f t="shared" si="79"/>
        <v>C</v>
      </c>
      <c r="T67" s="341" t="str">
        <f t="shared" ref="T67" si="80">+IF(T66&gt;0,"NC","C")</f>
        <v>C</v>
      </c>
      <c r="U67" s="341" t="str">
        <f t="shared" si="79"/>
        <v>C</v>
      </c>
      <c r="V67" s="341" t="str">
        <f t="shared" si="79"/>
        <v>C</v>
      </c>
      <c r="W67" s="341" t="str">
        <f t="shared" si="79"/>
        <v>C</v>
      </c>
      <c r="X67" s="341" t="str">
        <f t="shared" si="79"/>
        <v>C</v>
      </c>
      <c r="Y67" s="341" t="str">
        <f t="shared" si="79"/>
        <v>C</v>
      </c>
      <c r="Z67" s="341" t="str">
        <f t="shared" si="79"/>
        <v>C</v>
      </c>
      <c r="AA67" s="341" t="str">
        <f t="shared" si="79"/>
        <v>C</v>
      </c>
      <c r="AB67" s="341" t="str">
        <f t="shared" si="79"/>
        <v>C</v>
      </c>
      <c r="AC67" s="341" t="str">
        <f t="shared" si="79"/>
        <v>C</v>
      </c>
      <c r="AD67" s="341" t="str">
        <f t="shared" si="79"/>
        <v>C</v>
      </c>
    </row>
    <row r="68" spans="1:30">
      <c r="A68" s="118" t="s">
        <v>198</v>
      </c>
      <c r="B68" s="107" t="s">
        <v>199</v>
      </c>
      <c r="C68" s="334" t="s">
        <v>197</v>
      </c>
      <c r="D68" s="335">
        <v>3</v>
      </c>
      <c r="E68" s="332" t="s">
        <v>15</v>
      </c>
      <c r="F68" s="335">
        <v>1</v>
      </c>
      <c r="G68" s="81">
        <v>0.09</v>
      </c>
      <c r="H68" s="80">
        <v>0.09</v>
      </c>
      <c r="I68" s="81">
        <v>0.09</v>
      </c>
      <c r="J68" s="81">
        <v>0.09</v>
      </c>
      <c r="K68" s="81">
        <v>0.09</v>
      </c>
      <c r="L68" s="81">
        <v>0.09</v>
      </c>
      <c r="M68" s="81">
        <v>0.09</v>
      </c>
      <c r="N68" s="80">
        <v>0.09</v>
      </c>
      <c r="O68" s="81">
        <v>0.09</v>
      </c>
      <c r="P68" s="80">
        <v>0.09</v>
      </c>
      <c r="Q68" s="81">
        <v>0.09</v>
      </c>
      <c r="R68" s="80">
        <v>0.09</v>
      </c>
      <c r="S68" s="80">
        <v>0.09</v>
      </c>
      <c r="T68" s="80">
        <v>0.09</v>
      </c>
      <c r="U68" s="81">
        <v>0.09</v>
      </c>
      <c r="V68" s="80">
        <v>0.09</v>
      </c>
      <c r="W68" s="81">
        <v>0.09</v>
      </c>
      <c r="X68" s="81">
        <v>0.09</v>
      </c>
      <c r="Y68" s="81"/>
      <c r="Z68" s="80"/>
      <c r="AA68" s="80"/>
      <c r="AB68" s="80"/>
      <c r="AC68" s="81"/>
      <c r="AD68" s="80"/>
    </row>
    <row r="69" spans="1:30">
      <c r="A69" s="90"/>
      <c r="B69" s="112"/>
      <c r="C69" s="336"/>
      <c r="D69" s="333"/>
      <c r="E69" s="337"/>
      <c r="F69" s="333"/>
      <c r="G69" s="342">
        <f t="shared" ref="G69:AD69" si="81">+IF(G68&gt;3.0000001,$F68,0)</f>
        <v>0</v>
      </c>
      <c r="H69" s="343">
        <f t="shared" si="81"/>
        <v>0</v>
      </c>
      <c r="I69" s="342">
        <f t="shared" si="81"/>
        <v>0</v>
      </c>
      <c r="J69" s="342">
        <f t="shared" si="81"/>
        <v>0</v>
      </c>
      <c r="K69" s="342">
        <f t="shared" si="81"/>
        <v>0</v>
      </c>
      <c r="L69" s="343">
        <f t="shared" si="81"/>
        <v>0</v>
      </c>
      <c r="M69" s="343">
        <f t="shared" si="81"/>
        <v>0</v>
      </c>
      <c r="N69" s="343">
        <f t="shared" si="81"/>
        <v>0</v>
      </c>
      <c r="O69" s="343">
        <f t="shared" si="81"/>
        <v>0</v>
      </c>
      <c r="P69" s="343">
        <f t="shared" si="81"/>
        <v>0</v>
      </c>
      <c r="Q69" s="343">
        <f t="shared" si="81"/>
        <v>0</v>
      </c>
      <c r="R69" s="343">
        <f t="shared" si="81"/>
        <v>0</v>
      </c>
      <c r="S69" s="343">
        <f t="shared" si="81"/>
        <v>0</v>
      </c>
      <c r="T69" s="343">
        <f t="shared" ref="T69" si="82">+IF(T68&gt;3.0000001,$F68,0)</f>
        <v>0</v>
      </c>
      <c r="U69" s="343">
        <f t="shared" si="81"/>
        <v>0</v>
      </c>
      <c r="V69" s="343">
        <f t="shared" si="81"/>
        <v>0</v>
      </c>
      <c r="W69" s="343">
        <f t="shared" si="81"/>
        <v>0</v>
      </c>
      <c r="X69" s="343">
        <f t="shared" si="81"/>
        <v>0</v>
      </c>
      <c r="Y69" s="343">
        <f t="shared" si="81"/>
        <v>0</v>
      </c>
      <c r="Z69" s="343">
        <f t="shared" si="81"/>
        <v>0</v>
      </c>
      <c r="AA69" s="343">
        <f t="shared" si="81"/>
        <v>0</v>
      </c>
      <c r="AB69" s="343">
        <f t="shared" si="81"/>
        <v>0</v>
      </c>
      <c r="AC69" s="343">
        <f t="shared" si="81"/>
        <v>0</v>
      </c>
      <c r="AD69" s="343">
        <f t="shared" si="81"/>
        <v>0</v>
      </c>
    </row>
    <row r="70" spans="1:30">
      <c r="A70" s="90"/>
      <c r="B70" s="112"/>
      <c r="C70" s="336"/>
      <c r="D70" s="333"/>
      <c r="E70" s="337"/>
      <c r="F70" s="333"/>
      <c r="G70" s="340" t="str">
        <f t="shared" ref="G70:AD70" si="83">+IF(G69&gt;0,"NC","C")</f>
        <v>C</v>
      </c>
      <c r="H70" s="341" t="str">
        <f t="shared" si="83"/>
        <v>C</v>
      </c>
      <c r="I70" s="340" t="str">
        <f t="shared" si="83"/>
        <v>C</v>
      </c>
      <c r="J70" s="340" t="str">
        <f t="shared" si="83"/>
        <v>C</v>
      </c>
      <c r="K70" s="340" t="str">
        <f t="shared" si="83"/>
        <v>C</v>
      </c>
      <c r="L70" s="341" t="str">
        <f t="shared" si="83"/>
        <v>C</v>
      </c>
      <c r="M70" s="341" t="str">
        <f t="shared" si="83"/>
        <v>C</v>
      </c>
      <c r="N70" s="341" t="str">
        <f t="shared" si="83"/>
        <v>C</v>
      </c>
      <c r="O70" s="341" t="str">
        <f t="shared" si="83"/>
        <v>C</v>
      </c>
      <c r="P70" s="341" t="str">
        <f t="shared" si="83"/>
        <v>C</v>
      </c>
      <c r="Q70" s="341" t="str">
        <f t="shared" si="83"/>
        <v>C</v>
      </c>
      <c r="R70" s="341" t="str">
        <f t="shared" si="83"/>
        <v>C</v>
      </c>
      <c r="S70" s="341" t="str">
        <f t="shared" si="83"/>
        <v>C</v>
      </c>
      <c r="T70" s="341" t="str">
        <f t="shared" ref="T70" si="84">+IF(T69&gt;0,"NC","C")</f>
        <v>C</v>
      </c>
      <c r="U70" s="341" t="str">
        <f t="shared" si="83"/>
        <v>C</v>
      </c>
      <c r="V70" s="341" t="str">
        <f t="shared" si="83"/>
        <v>C</v>
      </c>
      <c r="W70" s="341" t="str">
        <f t="shared" si="83"/>
        <v>C</v>
      </c>
      <c r="X70" s="341" t="str">
        <f t="shared" si="83"/>
        <v>C</v>
      </c>
      <c r="Y70" s="341" t="str">
        <f t="shared" si="83"/>
        <v>C</v>
      </c>
      <c r="Z70" s="341" t="str">
        <f t="shared" si="83"/>
        <v>C</v>
      </c>
      <c r="AA70" s="341" t="str">
        <f t="shared" si="83"/>
        <v>C</v>
      </c>
      <c r="AB70" s="341" t="str">
        <f t="shared" si="83"/>
        <v>C</v>
      </c>
      <c r="AC70" s="341" t="str">
        <f t="shared" si="83"/>
        <v>C</v>
      </c>
      <c r="AD70" s="341" t="str">
        <f t="shared" si="83"/>
        <v>C</v>
      </c>
    </row>
    <row r="71" spans="1:30">
      <c r="A71" s="118" t="s">
        <v>200</v>
      </c>
      <c r="B71" s="107" t="s">
        <v>199</v>
      </c>
      <c r="C71" s="334" t="s">
        <v>197</v>
      </c>
      <c r="D71" s="335">
        <v>7.0000000000000007E-2</v>
      </c>
      <c r="E71" s="332" t="s">
        <v>15</v>
      </c>
      <c r="F71" s="335">
        <v>1</v>
      </c>
      <c r="G71" s="81">
        <v>3.0000000000000001E-3</v>
      </c>
      <c r="H71" s="80">
        <v>3.0000000000000001E-3</v>
      </c>
      <c r="I71" s="81">
        <v>3.0000000000000001E-3</v>
      </c>
      <c r="J71" s="81">
        <v>3.0000000000000001E-3</v>
      </c>
      <c r="K71" s="81">
        <v>3.0000000000000001E-3</v>
      </c>
      <c r="L71" s="81">
        <v>3.0000000000000001E-3</v>
      </c>
      <c r="M71" s="81">
        <v>3.0000000000000001E-3</v>
      </c>
      <c r="N71" s="80">
        <v>3.0000000000000001E-3</v>
      </c>
      <c r="O71" s="81">
        <v>3.0000000000000001E-3</v>
      </c>
      <c r="P71" s="80">
        <v>3.0000000000000001E-3</v>
      </c>
      <c r="Q71" s="81">
        <v>3.0000000000000001E-3</v>
      </c>
      <c r="R71" s="80">
        <v>7.0000000000000001E-3</v>
      </c>
      <c r="S71" s="80">
        <v>3.0000000000000001E-3</v>
      </c>
      <c r="T71" s="80">
        <v>3.0000000000000001E-3</v>
      </c>
      <c r="U71" s="81">
        <v>3.0000000000000001E-3</v>
      </c>
      <c r="V71" s="80">
        <v>3.0000000000000001E-3</v>
      </c>
      <c r="W71" s="81">
        <v>4.0000000000000001E-3</v>
      </c>
      <c r="X71" s="81">
        <v>3.0000000000000001E-3</v>
      </c>
      <c r="Y71" s="81"/>
      <c r="Z71" s="81"/>
      <c r="AA71" s="81"/>
      <c r="AB71" s="80"/>
      <c r="AC71" s="81"/>
      <c r="AD71" s="80"/>
    </row>
    <row r="72" spans="1:30">
      <c r="A72" s="90"/>
      <c r="B72" s="112"/>
      <c r="C72" s="336"/>
      <c r="D72" s="333"/>
      <c r="E72" s="337"/>
      <c r="F72" s="333"/>
      <c r="G72" s="342">
        <f t="shared" ref="G72:AD72" si="85">+IF(G71&gt;0.070001,$F71,0)</f>
        <v>0</v>
      </c>
      <c r="H72" s="343">
        <f t="shared" si="85"/>
        <v>0</v>
      </c>
      <c r="I72" s="342">
        <f t="shared" si="85"/>
        <v>0</v>
      </c>
      <c r="J72" s="342">
        <f t="shared" si="85"/>
        <v>0</v>
      </c>
      <c r="K72" s="342">
        <f t="shared" si="85"/>
        <v>0</v>
      </c>
      <c r="L72" s="343">
        <f t="shared" si="85"/>
        <v>0</v>
      </c>
      <c r="M72" s="343">
        <f t="shared" si="85"/>
        <v>0</v>
      </c>
      <c r="N72" s="343">
        <f t="shared" si="85"/>
        <v>0</v>
      </c>
      <c r="O72" s="343">
        <f t="shared" si="85"/>
        <v>0</v>
      </c>
      <c r="P72" s="343">
        <f t="shared" si="85"/>
        <v>0</v>
      </c>
      <c r="Q72" s="343">
        <f t="shared" si="85"/>
        <v>0</v>
      </c>
      <c r="R72" s="343">
        <f t="shared" si="85"/>
        <v>0</v>
      </c>
      <c r="S72" s="343">
        <f t="shared" si="85"/>
        <v>0</v>
      </c>
      <c r="T72" s="343">
        <f t="shared" ref="T72" si="86">+IF(T71&gt;0.070001,$F71,0)</f>
        <v>0</v>
      </c>
      <c r="U72" s="343">
        <f t="shared" si="85"/>
        <v>0</v>
      </c>
      <c r="V72" s="343">
        <f t="shared" si="85"/>
        <v>0</v>
      </c>
      <c r="W72" s="343">
        <f t="shared" si="85"/>
        <v>0</v>
      </c>
      <c r="X72" s="343">
        <f t="shared" si="85"/>
        <v>0</v>
      </c>
      <c r="Y72" s="343">
        <f t="shared" si="85"/>
        <v>0</v>
      </c>
      <c r="Z72" s="343">
        <f t="shared" si="85"/>
        <v>0</v>
      </c>
      <c r="AA72" s="343">
        <f t="shared" si="85"/>
        <v>0</v>
      </c>
      <c r="AB72" s="343">
        <f t="shared" si="85"/>
        <v>0</v>
      </c>
      <c r="AC72" s="343">
        <f t="shared" si="85"/>
        <v>0</v>
      </c>
      <c r="AD72" s="343">
        <f t="shared" si="85"/>
        <v>0</v>
      </c>
    </row>
    <row r="73" spans="1:30">
      <c r="A73" s="90"/>
      <c r="B73" s="112"/>
      <c r="C73" s="336"/>
      <c r="D73" s="333"/>
      <c r="E73" s="337"/>
      <c r="F73" s="333"/>
      <c r="G73" s="340" t="str">
        <f t="shared" ref="G73:AD73" si="87">+IF(G72&gt;0,"NC","C")</f>
        <v>C</v>
      </c>
      <c r="H73" s="341" t="str">
        <f t="shared" si="87"/>
        <v>C</v>
      </c>
      <c r="I73" s="340" t="str">
        <f t="shared" si="87"/>
        <v>C</v>
      </c>
      <c r="J73" s="340" t="str">
        <f t="shared" si="87"/>
        <v>C</v>
      </c>
      <c r="K73" s="340" t="str">
        <f t="shared" si="87"/>
        <v>C</v>
      </c>
      <c r="L73" s="341" t="str">
        <f t="shared" si="87"/>
        <v>C</v>
      </c>
      <c r="M73" s="341" t="str">
        <f t="shared" si="87"/>
        <v>C</v>
      </c>
      <c r="N73" s="341" t="str">
        <f t="shared" si="87"/>
        <v>C</v>
      </c>
      <c r="O73" s="341" t="str">
        <f t="shared" si="87"/>
        <v>C</v>
      </c>
      <c r="P73" s="341" t="str">
        <f t="shared" si="87"/>
        <v>C</v>
      </c>
      <c r="Q73" s="341" t="str">
        <f t="shared" si="87"/>
        <v>C</v>
      </c>
      <c r="R73" s="341" t="str">
        <f t="shared" si="87"/>
        <v>C</v>
      </c>
      <c r="S73" s="341" t="str">
        <f t="shared" si="87"/>
        <v>C</v>
      </c>
      <c r="T73" s="341" t="str">
        <f t="shared" ref="T73" si="88">+IF(T72&gt;0,"NC","C")</f>
        <v>C</v>
      </c>
      <c r="U73" s="341" t="str">
        <f t="shared" si="87"/>
        <v>C</v>
      </c>
      <c r="V73" s="341" t="str">
        <f t="shared" si="87"/>
        <v>C</v>
      </c>
      <c r="W73" s="341" t="str">
        <f t="shared" si="87"/>
        <v>C</v>
      </c>
      <c r="X73" s="341" t="str">
        <f t="shared" si="87"/>
        <v>C</v>
      </c>
      <c r="Y73" s="341" t="str">
        <f t="shared" si="87"/>
        <v>C</v>
      </c>
      <c r="Z73" s="341" t="str">
        <f t="shared" si="87"/>
        <v>C</v>
      </c>
      <c r="AA73" s="341" t="str">
        <f t="shared" si="87"/>
        <v>C</v>
      </c>
      <c r="AB73" s="341" t="str">
        <f t="shared" si="87"/>
        <v>C</v>
      </c>
      <c r="AC73" s="341" t="str">
        <f t="shared" si="87"/>
        <v>C</v>
      </c>
      <c r="AD73" s="341" t="str">
        <f t="shared" si="87"/>
        <v>C</v>
      </c>
    </row>
    <row r="74" spans="1:30">
      <c r="A74" s="118" t="s">
        <v>201</v>
      </c>
      <c r="B74" s="107" t="s">
        <v>199</v>
      </c>
      <c r="C74" s="334" t="s">
        <v>197</v>
      </c>
      <c r="D74" s="335">
        <v>36</v>
      </c>
      <c r="E74" s="332" t="s">
        <v>15</v>
      </c>
      <c r="F74" s="335">
        <v>1</v>
      </c>
      <c r="G74" s="46">
        <v>9.4</v>
      </c>
      <c r="H74" s="47">
        <v>1.35</v>
      </c>
      <c r="I74" s="46">
        <v>1.4350000000000001</v>
      </c>
      <c r="J74" s="46">
        <v>1.2709999999999999</v>
      </c>
      <c r="K74" s="46">
        <v>1.3580000000000001</v>
      </c>
      <c r="L74" s="47">
        <v>0.45200000000000001</v>
      </c>
      <c r="M74" s="46">
        <v>1.53</v>
      </c>
      <c r="N74" s="47">
        <v>1.4219999999999999</v>
      </c>
      <c r="O74" s="46">
        <v>1.331</v>
      </c>
      <c r="P74" s="47">
        <v>1.0109999999999999</v>
      </c>
      <c r="Q74" s="46">
        <v>1.3160000000000001</v>
      </c>
      <c r="R74" s="47">
        <v>0.59899999999999998</v>
      </c>
      <c r="S74" s="47">
        <v>0.32500000000000001</v>
      </c>
      <c r="T74" s="47">
        <v>0.32500000000000001</v>
      </c>
      <c r="U74" s="46">
        <v>2.694</v>
      </c>
      <c r="V74" s="47">
        <v>1.744</v>
      </c>
      <c r="W74" s="46">
        <v>0.15</v>
      </c>
      <c r="X74" s="46">
        <v>0.64800000000000002</v>
      </c>
      <c r="Y74" s="46"/>
      <c r="Z74" s="47"/>
      <c r="AA74" s="46"/>
      <c r="AB74" s="47"/>
      <c r="AC74" s="46"/>
      <c r="AD74" s="47"/>
    </row>
    <row r="75" spans="1:30">
      <c r="A75" s="90"/>
      <c r="B75" s="112"/>
      <c r="C75" s="336"/>
      <c r="D75" s="333"/>
      <c r="E75" s="337"/>
      <c r="F75" s="333"/>
      <c r="G75" s="342">
        <f t="shared" ref="G75:AD75" si="89">+IF(G74&gt;36.001,$F74,0)</f>
        <v>0</v>
      </c>
      <c r="H75" s="343">
        <f t="shared" si="89"/>
        <v>0</v>
      </c>
      <c r="I75" s="342">
        <f t="shared" si="89"/>
        <v>0</v>
      </c>
      <c r="J75" s="342">
        <f t="shared" si="89"/>
        <v>0</v>
      </c>
      <c r="K75" s="342">
        <f t="shared" si="89"/>
        <v>0</v>
      </c>
      <c r="L75" s="343">
        <f t="shared" si="89"/>
        <v>0</v>
      </c>
      <c r="M75" s="343">
        <f t="shared" si="89"/>
        <v>0</v>
      </c>
      <c r="N75" s="343">
        <f t="shared" si="89"/>
        <v>0</v>
      </c>
      <c r="O75" s="343">
        <f t="shared" si="89"/>
        <v>0</v>
      </c>
      <c r="P75" s="343">
        <f t="shared" si="89"/>
        <v>0</v>
      </c>
      <c r="Q75" s="343">
        <f t="shared" si="89"/>
        <v>0</v>
      </c>
      <c r="R75" s="343">
        <f t="shared" si="89"/>
        <v>0</v>
      </c>
      <c r="S75" s="343">
        <f t="shared" si="89"/>
        <v>0</v>
      </c>
      <c r="T75" s="343">
        <f t="shared" ref="T75" si="90">+IF(T74&gt;36.001,$F74,0)</f>
        <v>0</v>
      </c>
      <c r="U75" s="343">
        <f t="shared" si="89"/>
        <v>0</v>
      </c>
      <c r="V75" s="343">
        <f t="shared" si="89"/>
        <v>0</v>
      </c>
      <c r="W75" s="343">
        <f t="shared" si="89"/>
        <v>0</v>
      </c>
      <c r="X75" s="343">
        <f t="shared" si="89"/>
        <v>0</v>
      </c>
      <c r="Y75" s="343">
        <f t="shared" si="89"/>
        <v>0</v>
      </c>
      <c r="Z75" s="343">
        <f t="shared" si="89"/>
        <v>0</v>
      </c>
      <c r="AA75" s="343">
        <f t="shared" si="89"/>
        <v>0</v>
      </c>
      <c r="AB75" s="343">
        <f t="shared" si="89"/>
        <v>0</v>
      </c>
      <c r="AC75" s="343">
        <f t="shared" si="89"/>
        <v>0</v>
      </c>
      <c r="AD75" s="343">
        <f t="shared" si="89"/>
        <v>0</v>
      </c>
    </row>
    <row r="76" spans="1:30">
      <c r="A76" s="90"/>
      <c r="B76" s="112"/>
      <c r="C76" s="336"/>
      <c r="D76" s="333"/>
      <c r="E76" s="337"/>
      <c r="F76" s="333"/>
      <c r="G76" s="340" t="str">
        <f t="shared" ref="G76:AD76" si="91">+IF(G75&gt;0,"NC","C")</f>
        <v>C</v>
      </c>
      <c r="H76" s="341" t="str">
        <f t="shared" si="91"/>
        <v>C</v>
      </c>
      <c r="I76" s="340" t="str">
        <f t="shared" si="91"/>
        <v>C</v>
      </c>
      <c r="J76" s="340" t="str">
        <f t="shared" si="91"/>
        <v>C</v>
      </c>
      <c r="K76" s="340" t="str">
        <f t="shared" si="91"/>
        <v>C</v>
      </c>
      <c r="L76" s="341" t="str">
        <f t="shared" si="91"/>
        <v>C</v>
      </c>
      <c r="M76" s="341" t="str">
        <f t="shared" si="91"/>
        <v>C</v>
      </c>
      <c r="N76" s="341" t="str">
        <f t="shared" si="91"/>
        <v>C</v>
      </c>
      <c r="O76" s="341" t="str">
        <f t="shared" si="91"/>
        <v>C</v>
      </c>
      <c r="P76" s="341" t="str">
        <f t="shared" si="91"/>
        <v>C</v>
      </c>
      <c r="Q76" s="341" t="str">
        <f t="shared" si="91"/>
        <v>C</v>
      </c>
      <c r="R76" s="341" t="str">
        <f t="shared" si="91"/>
        <v>C</v>
      </c>
      <c r="S76" s="341" t="str">
        <f t="shared" si="91"/>
        <v>C</v>
      </c>
      <c r="T76" s="341" t="str">
        <f t="shared" ref="T76" si="92">+IF(T75&gt;0,"NC","C")</f>
        <v>C</v>
      </c>
      <c r="U76" s="341" t="str">
        <f t="shared" si="91"/>
        <v>C</v>
      </c>
      <c r="V76" s="341" t="str">
        <f t="shared" si="91"/>
        <v>C</v>
      </c>
      <c r="W76" s="341" t="str">
        <f t="shared" si="91"/>
        <v>C</v>
      </c>
      <c r="X76" s="341" t="str">
        <f t="shared" si="91"/>
        <v>C</v>
      </c>
      <c r="Y76" s="341" t="str">
        <f t="shared" si="91"/>
        <v>C</v>
      </c>
      <c r="Z76" s="341" t="str">
        <f t="shared" si="91"/>
        <v>C</v>
      </c>
      <c r="AA76" s="341" t="str">
        <f t="shared" si="91"/>
        <v>C</v>
      </c>
      <c r="AB76" s="341" t="str">
        <f t="shared" si="91"/>
        <v>C</v>
      </c>
      <c r="AC76" s="341" t="str">
        <f t="shared" si="91"/>
        <v>C</v>
      </c>
      <c r="AD76" s="341" t="str">
        <f t="shared" si="91"/>
        <v>C</v>
      </c>
    </row>
    <row r="77" spans="1:30" ht="90">
      <c r="A77" s="104" t="s">
        <v>202</v>
      </c>
      <c r="B77" s="107" t="s">
        <v>203</v>
      </c>
      <c r="C77" s="768" t="s">
        <v>204</v>
      </c>
      <c r="D77" s="768"/>
      <c r="E77" s="327" t="s">
        <v>15</v>
      </c>
      <c r="F77" s="616" t="s">
        <v>205</v>
      </c>
      <c r="G77" s="347">
        <f>+G9+G6+G12+G15+G18+G21+G24+G27+G30+G33+G36+G39+G42+G45+G48+G51+G54+G57+G60+G63+G66+G69+G72+G75</f>
        <v>0</v>
      </c>
      <c r="H77" s="347">
        <f t="shared" ref="H77:AD77" si="93">+H9+H6+H12+H15+H18+H21+H24+H27+H30+H33+H36+H39+H42+H45+H48+H51+H54+H57+H60+H63+H66+H69+H72+H75</f>
        <v>0</v>
      </c>
      <c r="I77" s="347">
        <f t="shared" si="93"/>
        <v>0</v>
      </c>
      <c r="J77" s="347">
        <f t="shared" si="93"/>
        <v>0</v>
      </c>
      <c r="K77" s="347">
        <f t="shared" si="93"/>
        <v>0</v>
      </c>
      <c r="L77" s="347">
        <f t="shared" si="93"/>
        <v>0</v>
      </c>
      <c r="M77" s="347">
        <f t="shared" si="93"/>
        <v>0</v>
      </c>
      <c r="N77" s="347">
        <f t="shared" si="93"/>
        <v>0</v>
      </c>
      <c r="O77" s="347">
        <f t="shared" si="93"/>
        <v>0</v>
      </c>
      <c r="P77" s="347">
        <f t="shared" si="93"/>
        <v>0</v>
      </c>
      <c r="Q77" s="347">
        <f t="shared" si="93"/>
        <v>0</v>
      </c>
      <c r="R77" s="347">
        <f t="shared" si="93"/>
        <v>0</v>
      </c>
      <c r="S77" s="347">
        <f t="shared" si="93"/>
        <v>0</v>
      </c>
      <c r="T77" s="347">
        <f t="shared" si="93"/>
        <v>0</v>
      </c>
      <c r="U77" s="347">
        <f t="shared" si="93"/>
        <v>0</v>
      </c>
      <c r="V77" s="347">
        <f t="shared" si="93"/>
        <v>0</v>
      </c>
      <c r="W77" s="347">
        <f t="shared" si="93"/>
        <v>0</v>
      </c>
      <c r="X77" s="347">
        <f t="shared" si="93"/>
        <v>0</v>
      </c>
      <c r="Y77" s="347" t="e">
        <f t="shared" si="93"/>
        <v>#VALUE!</v>
      </c>
      <c r="Z77" s="347" t="e">
        <f t="shared" si="93"/>
        <v>#VALUE!</v>
      </c>
      <c r="AA77" s="347" t="e">
        <f t="shared" si="93"/>
        <v>#VALUE!</v>
      </c>
      <c r="AB77" s="347" t="e">
        <f t="shared" si="93"/>
        <v>#VALUE!</v>
      </c>
      <c r="AC77" s="347" t="e">
        <f t="shared" si="93"/>
        <v>#VALUE!</v>
      </c>
      <c r="AD77" s="347" t="e">
        <f t="shared" si="93"/>
        <v>#VALUE!</v>
      </c>
    </row>
    <row r="78" spans="1:30">
      <c r="A78" s="110"/>
      <c r="B78" s="112"/>
      <c r="C78" s="336"/>
      <c r="D78" s="111"/>
      <c r="E78" s="92" t="s">
        <v>15</v>
      </c>
      <c r="F78" s="113"/>
      <c r="G78" s="769">
        <f>+AVERAGE(G77:H77)</f>
        <v>0</v>
      </c>
      <c r="H78" s="770"/>
      <c r="I78" s="769">
        <f>+AVERAGE(I77:J77)</f>
        <v>0</v>
      </c>
      <c r="J78" s="770"/>
      <c r="K78" s="769">
        <f>+AVERAGE(K77:L77)</f>
        <v>0</v>
      </c>
      <c r="L78" s="770"/>
      <c r="M78" s="769">
        <f>+AVERAGE(M77:N77)</f>
        <v>0</v>
      </c>
      <c r="N78" s="770"/>
      <c r="O78" s="769">
        <f>+AVERAGE(O77:P77)</f>
        <v>0</v>
      </c>
      <c r="P78" s="770"/>
      <c r="Q78" s="766">
        <f>+AVERAGE(Q77:R77)</f>
        <v>0</v>
      </c>
      <c r="R78" s="767"/>
      <c r="S78" s="766">
        <f>+AVERAGE(S77:T77)</f>
        <v>0</v>
      </c>
      <c r="T78" s="767"/>
      <c r="U78" s="766">
        <f>+AVERAGE(U77:V77)</f>
        <v>0</v>
      </c>
      <c r="V78" s="767"/>
      <c r="W78" s="766">
        <f>+AVERAGE(W77:X77)</f>
        <v>0</v>
      </c>
      <c r="X78" s="767"/>
      <c r="Y78" s="766" t="e">
        <f>+AVERAGE(Y77:Z77)</f>
        <v>#VALUE!</v>
      </c>
      <c r="Z78" s="767"/>
      <c r="AA78" s="766" t="e">
        <f>+AVERAGE(AA77:AB77)</f>
        <v>#VALUE!</v>
      </c>
      <c r="AB78" s="767"/>
      <c r="AC78" s="766" t="e">
        <f>+AVERAGE(AC77:AD77)</f>
        <v>#VALUE!</v>
      </c>
      <c r="AD78" s="767"/>
    </row>
    <row r="79" spans="1:30">
      <c r="A79" s="105"/>
      <c r="B79" s="108"/>
      <c r="C79" s="96"/>
      <c r="D79" s="97"/>
      <c r="E79" s="106"/>
      <c r="F79" s="109"/>
      <c r="G79" s="328" t="str">
        <f>+IF((G78&lt;5.1),"Sin Riesgo",IF(AND(G78&gt;5,G78&lt;14.1),"Bajo",IF(AND(G78&gt;14,G78&lt;35.1),"Medio",IF(AND(G78&gt;35,G78&lt;80.1),"Alto",IF(G78&gt;80,"Inviable","")))))</f>
        <v>Sin Riesgo</v>
      </c>
      <c r="H79" s="329"/>
      <c r="I79" s="328" t="str">
        <f>+IF((I78&lt;5.1),"Sin Riesgo",IF(AND(I78&gt;5,I78&lt;14.1),"Bajo",IF(AND(I78&gt;14,I78&lt;35.1),"Medio",IF(AND(I78&gt;35,I78&lt;80.1),"Alto",IF(I78&gt;80,"Inviable","")))))</f>
        <v>Sin Riesgo</v>
      </c>
      <c r="J79" s="329"/>
      <c r="K79" s="328" t="str">
        <f>+IF((K78&lt;5.1),"Sin Riesgo",IF(AND(K78&gt;5,K78&lt;14.1),"Bajo",IF(AND(K78&gt;14,K78&lt;35.1),"Medio",IF(AND(K78&gt;35,K78&lt;80.1),"Alto",IF(K78&gt;80,"Inviable","")))))</f>
        <v>Sin Riesgo</v>
      </c>
      <c r="L79" s="329"/>
      <c r="M79" s="328" t="str">
        <f>+IF((M78&lt;5.1%),"Sin Riesgo",IF(AND(M78&gt;5%,M78&lt;14.1%),"Bajo",IF(AND(M78&gt;14%,M78&lt;35.1%),"Medio",IF(AND(M78&gt;35%,M78&lt;80.1%),"Alto",IF(M78&gt;80%,"Inviable","")))))</f>
        <v>Sin Riesgo</v>
      </c>
      <c r="N79" s="329"/>
      <c r="O79" s="328" t="str">
        <f>+IF((O78&lt;5.1%),"Sin Riesgo",IF(AND(O78&gt;5%,O78&lt;14.1%),"Bajo",IF(AND(O78&gt;14%,O78&lt;35.1%),"Medio",IF(AND(O78&gt;35%,O78&lt;80.1%),"Alto",IF(O78&gt;80%,"Inviable","")))))</f>
        <v>Sin Riesgo</v>
      </c>
      <c r="P79" s="329"/>
      <c r="Q79" s="328" t="str">
        <f>+IF((Q78&lt;5.1%),"Sin Riesgo",IF(AND(Q78&gt;5%,Q78&lt;14.1%),"Bajo",IF(AND(Q78&gt;14%,Q78&lt;35.1%),"Medio",IF(AND(Q78&gt;35%,Q78&lt;80.1%),"Alto",IF(Q78&gt;80%,"Inviable","")))))</f>
        <v>Sin Riesgo</v>
      </c>
      <c r="R79" s="329"/>
      <c r="S79" s="328" t="str">
        <f>+IF((S78&lt;5.1%),"Sin Riesgo",IF(AND(S78&gt;5%,S78&lt;14.1%),"Bajo",IF(AND(S78&gt;14%,S78&lt;35.1%),"Medio",IF(AND(S78&gt;35%,S78&lt;80.1%),"Alto",IF(S78&gt;80%,"Inviable","")))))</f>
        <v>Sin Riesgo</v>
      </c>
      <c r="T79" s="329"/>
      <c r="U79" s="328" t="str">
        <f>+IF((U78&lt;5.1%),"Sin Riesgo",IF(AND(U78&gt;5%,U78&lt;14.1%),"Bajo",IF(AND(U78&gt;14%,U78&lt;35.1%),"Medio",IF(AND(U78&gt;35%,U78&lt;80.1%),"Alto",IF(U78&gt;80%,"Inviable","")))))</f>
        <v>Sin Riesgo</v>
      </c>
      <c r="V79" s="329"/>
      <c r="W79" s="766" t="str">
        <f>+IF((W78&lt;5.1%),"Sin Riesgo",IF(AND(W78&gt;5%,W78&lt;14.1%),"Bajo",IF(AND(W78&gt;14%,W78&lt;35.1%),"Medio",IF(AND(W78&gt;35%,W78&lt;80.1%),"Alto",IF(W78&gt;80%,"Inviable","")))))</f>
        <v>Sin Riesgo</v>
      </c>
      <c r="X79" s="767"/>
      <c r="Y79" s="328" t="e">
        <f>+IF((Y78&lt;5.1%),"Sin Riesgo",IF(AND(Y78&gt;5%,Y78&lt;14.1%),"Bajo",IF(AND(Y78&gt;14%,Y78&lt;35.1%),"Medio",IF(AND(Y78&gt;35%,Y78&lt;80.1%),"Alto",IF(Y78&gt;80%,"Inviable","")))))</f>
        <v>#VALUE!</v>
      </c>
      <c r="Z79" s="329"/>
      <c r="AA79" s="328" t="e">
        <f>+IF((AA78&lt;5.1%),"Sin Riesgo",IF(AND(AA78&gt;5%,AA78&lt;14.1%),"Bajo",IF(AND(AA78&gt;14%,AA78&lt;35.1%),"Medio",IF(AND(AA78&gt;35%,AA78&lt;80.1%),"Alto",IF(AA78&gt;80%,"Inviable","")))))</f>
        <v>#VALUE!</v>
      </c>
      <c r="AB79" s="329"/>
      <c r="AC79" s="328" t="e">
        <f>+IF((AC78&lt;5.1%),"Sin Riesgo",IF(AND(AC78&gt;5%,AC78&lt;14.1%),"Bajo",IF(AND(AC78&gt;14%,AC78&lt;35.1%),"Medio",IF(AND(AC78&gt;35%,AC78&lt;80.1%),"Alto",IF(AC78&gt;80%,"Inviable","")))))</f>
        <v>#VALUE!</v>
      </c>
      <c r="AD79" s="329"/>
    </row>
    <row r="80" spans="1:30" ht="30">
      <c r="A80" s="468" t="s">
        <v>206</v>
      </c>
      <c r="B80" s="468" t="s">
        <v>207</v>
      </c>
      <c r="C80" s="788" t="s">
        <v>208</v>
      </c>
      <c r="D80" s="789"/>
      <c r="E80" s="327" t="s">
        <v>15</v>
      </c>
      <c r="F80" s="327"/>
      <c r="G80" s="779">
        <f>COUNTIF(G5:H76,"C")/48</f>
        <v>1</v>
      </c>
      <c r="H80" s="780"/>
      <c r="I80" s="779">
        <f>COUNTIF(I5:J76,"C")/48</f>
        <v>1</v>
      </c>
      <c r="J80" s="780"/>
      <c r="K80" s="779">
        <f>COUNTIF(K5:L76,"C")/48</f>
        <v>1</v>
      </c>
      <c r="L80" s="780"/>
      <c r="M80" s="779">
        <f>COUNTIF(M5:N76,"C")/48</f>
        <v>1</v>
      </c>
      <c r="N80" s="780"/>
      <c r="O80" s="779">
        <f>COUNTIF(O5:P76,"C")/48</f>
        <v>1</v>
      </c>
      <c r="P80" s="780"/>
      <c r="Q80" s="95">
        <f>COUNTIF(Q11:R76,"C")/44</f>
        <v>1</v>
      </c>
      <c r="R80" s="329"/>
      <c r="S80" s="95">
        <f>COUNTIF(S11:T76,"C")/44</f>
        <v>1</v>
      </c>
      <c r="T80" s="329"/>
      <c r="U80" s="95">
        <f>COUNTIF(U11:V76,"C")/44</f>
        <v>1</v>
      </c>
      <c r="V80" s="329"/>
      <c r="W80" s="779">
        <v>0.97727272727272729</v>
      </c>
      <c r="X80" s="780"/>
      <c r="Y80" s="95">
        <f>COUNTIF(Y11:Z76,"C")/44</f>
        <v>0.31818181818181818</v>
      </c>
      <c r="Z80" s="329"/>
      <c r="AA80" s="95">
        <f>COUNTIF(AA11:AB76,"C")/44</f>
        <v>0.31818181818181818</v>
      </c>
      <c r="AB80" s="329"/>
      <c r="AC80" s="95">
        <f>COUNTIF(AC11:AD76,"C")/44</f>
        <v>0.31818181818181818</v>
      </c>
      <c r="AD80" s="329"/>
    </row>
    <row r="81" spans="1:29">
      <c r="G81" s="92" t="s">
        <v>317</v>
      </c>
      <c r="H81" s="92">
        <v>1</v>
      </c>
      <c r="I81" s="92" t="s">
        <v>318</v>
      </c>
      <c r="J81" s="92">
        <v>1</v>
      </c>
      <c r="K81" s="92" t="s">
        <v>319</v>
      </c>
      <c r="L81" s="92">
        <v>1</v>
      </c>
      <c r="M81" s="92" t="s">
        <v>159</v>
      </c>
      <c r="N81" s="92">
        <v>2</v>
      </c>
      <c r="O81" s="92" t="s">
        <v>319</v>
      </c>
      <c r="P81" s="92">
        <v>1</v>
      </c>
      <c r="Q81" s="92" t="s">
        <v>320</v>
      </c>
      <c r="R81" s="92">
        <v>2</v>
      </c>
      <c r="S81" s="92" t="s">
        <v>320</v>
      </c>
      <c r="T81" s="92">
        <v>1</v>
      </c>
      <c r="U81" s="92" t="s">
        <v>159</v>
      </c>
      <c r="V81" s="92">
        <v>1</v>
      </c>
      <c r="W81" s="92" t="s">
        <v>321</v>
      </c>
      <c r="X81" s="92">
        <v>2</v>
      </c>
      <c r="Y81" s="92" t="s">
        <v>322</v>
      </c>
      <c r="AA81" s="92" t="s">
        <v>323</v>
      </c>
      <c r="AC81" s="92" t="s">
        <v>324</v>
      </c>
    </row>
    <row r="82" spans="1:29" s="93" customFormat="1">
      <c r="A82" s="98" t="s">
        <v>129</v>
      </c>
      <c r="B82" s="790" t="s">
        <v>209</v>
      </c>
      <c r="C82" s="791"/>
      <c r="D82" s="791"/>
      <c r="E82" s="792"/>
      <c r="F82" s="793" t="s">
        <v>210</v>
      </c>
      <c r="G82" s="794"/>
      <c r="H82" s="794"/>
      <c r="I82" s="795"/>
      <c r="L82" s="93" t="s">
        <v>211</v>
      </c>
    </row>
    <row r="83" spans="1:29" ht="41.25" customHeight="1">
      <c r="A83" s="468" t="s">
        <v>212</v>
      </c>
      <c r="B83" s="785" t="s">
        <v>659</v>
      </c>
      <c r="C83" s="786"/>
      <c r="D83" s="786"/>
      <c r="E83" s="787"/>
      <c r="F83" s="784" t="s">
        <v>660</v>
      </c>
      <c r="G83" s="784"/>
      <c r="H83" s="784"/>
      <c r="I83" s="784"/>
    </row>
    <row r="84" spans="1:29" ht="41.25" customHeight="1">
      <c r="A84" s="468" t="s">
        <v>213</v>
      </c>
      <c r="B84" s="785" t="s">
        <v>659</v>
      </c>
      <c r="C84" s="786"/>
      <c r="D84" s="786"/>
      <c r="E84" s="787"/>
      <c r="F84" s="784" t="s">
        <v>660</v>
      </c>
      <c r="G84" s="784"/>
      <c r="H84" s="784"/>
      <c r="I84" s="784"/>
    </row>
    <row r="85" spans="1:29" ht="72.75" customHeight="1">
      <c r="A85" s="468" t="s">
        <v>214</v>
      </c>
      <c r="B85" s="785" t="s">
        <v>659</v>
      </c>
      <c r="C85" s="786"/>
      <c r="D85" s="786"/>
      <c r="E85" s="787"/>
      <c r="F85" s="784" t="s">
        <v>660</v>
      </c>
      <c r="G85" s="784"/>
      <c r="H85" s="784"/>
      <c r="I85" s="784"/>
    </row>
    <row r="86" spans="1:29" ht="113.45" customHeight="1">
      <c r="A86" s="468" t="s">
        <v>215</v>
      </c>
      <c r="B86" s="785" t="s">
        <v>661</v>
      </c>
      <c r="C86" s="786"/>
      <c r="D86" s="786"/>
      <c r="E86" s="787"/>
      <c r="F86" s="784" t="s">
        <v>660</v>
      </c>
      <c r="G86" s="784"/>
      <c r="H86" s="784"/>
      <c r="I86" s="784"/>
    </row>
    <row r="87" spans="1:29" ht="131.44999999999999" customHeight="1">
      <c r="A87" s="468" t="s">
        <v>216</v>
      </c>
      <c r="B87" s="785" t="s">
        <v>717</v>
      </c>
      <c r="C87" s="786"/>
      <c r="D87" s="786"/>
      <c r="E87" s="787"/>
      <c r="F87" s="784" t="s">
        <v>660</v>
      </c>
      <c r="G87" s="784"/>
      <c r="H87" s="784"/>
      <c r="I87" s="784"/>
    </row>
    <row r="88" spans="1:29" ht="119.1" customHeight="1">
      <c r="A88" s="468" t="s">
        <v>217</v>
      </c>
      <c r="B88" s="785" t="s">
        <v>718</v>
      </c>
      <c r="C88" s="786"/>
      <c r="D88" s="786"/>
      <c r="E88" s="787"/>
      <c r="F88" s="784" t="s">
        <v>660</v>
      </c>
      <c r="G88" s="784"/>
      <c r="H88" s="784"/>
      <c r="I88" s="784"/>
    </row>
    <row r="89" spans="1:29" ht="116.45" customHeight="1">
      <c r="A89" s="468" t="s">
        <v>218</v>
      </c>
      <c r="B89" s="785" t="s">
        <v>719</v>
      </c>
      <c r="C89" s="786"/>
      <c r="D89" s="786"/>
      <c r="E89" s="787"/>
      <c r="F89" s="784" t="s">
        <v>660</v>
      </c>
      <c r="G89" s="784"/>
      <c r="H89" s="784"/>
      <c r="I89" s="784"/>
    </row>
    <row r="90" spans="1:29" ht="41.25" customHeight="1">
      <c r="A90" s="468" t="s">
        <v>219</v>
      </c>
      <c r="B90" s="785" t="s">
        <v>719</v>
      </c>
      <c r="C90" s="786"/>
      <c r="D90" s="786"/>
      <c r="E90" s="787"/>
      <c r="F90" s="784" t="s">
        <v>660</v>
      </c>
      <c r="G90" s="784"/>
      <c r="H90" s="784"/>
      <c r="I90" s="784"/>
    </row>
    <row r="91" spans="1:29" ht="41.25" customHeight="1">
      <c r="A91" s="468" t="s">
        <v>220</v>
      </c>
      <c r="B91" s="785" t="s">
        <v>719</v>
      </c>
      <c r="C91" s="786"/>
      <c r="D91" s="786"/>
      <c r="E91" s="787"/>
      <c r="F91" s="784" t="s">
        <v>660</v>
      </c>
      <c r="G91" s="784"/>
      <c r="H91" s="784"/>
      <c r="I91" s="784"/>
    </row>
    <row r="92" spans="1:29" ht="41.25" customHeight="1">
      <c r="A92" s="468" t="s">
        <v>221</v>
      </c>
      <c r="B92" s="781"/>
      <c r="C92" s="782"/>
      <c r="D92" s="782"/>
      <c r="E92" s="783"/>
      <c r="F92" s="784"/>
      <c r="G92" s="784"/>
      <c r="H92" s="784"/>
      <c r="I92" s="784"/>
    </row>
    <row r="93" spans="1:29" ht="41.25" customHeight="1">
      <c r="A93" s="468" t="s">
        <v>222</v>
      </c>
      <c r="B93" s="781"/>
      <c r="C93" s="782"/>
      <c r="D93" s="782"/>
      <c r="E93" s="783"/>
      <c r="F93" s="784"/>
      <c r="G93" s="784"/>
      <c r="H93" s="784"/>
      <c r="I93" s="784"/>
    </row>
    <row r="94" spans="1:29" ht="41.25" customHeight="1">
      <c r="A94" s="468" t="s">
        <v>223</v>
      </c>
      <c r="B94" s="781"/>
      <c r="C94" s="782"/>
      <c r="D94" s="782"/>
      <c r="E94" s="783"/>
      <c r="F94" s="784"/>
      <c r="G94" s="784"/>
      <c r="H94" s="784"/>
      <c r="I94" s="784"/>
    </row>
  </sheetData>
  <autoFilter ref="B4:AD77" xr:uid="{00000000-0009-0000-0000-000004000000}"/>
  <mergeCells count="54">
    <mergeCell ref="K80:L80"/>
    <mergeCell ref="B84:E84"/>
    <mergeCell ref="F84:I84"/>
    <mergeCell ref="C80:D80"/>
    <mergeCell ref="B82:E82"/>
    <mergeCell ref="F82:I82"/>
    <mergeCell ref="B83:E83"/>
    <mergeCell ref="F83:I83"/>
    <mergeCell ref="G80:H80"/>
    <mergeCell ref="I80:J80"/>
    <mergeCell ref="B85:E85"/>
    <mergeCell ref="F85:I85"/>
    <mergeCell ref="B86:E86"/>
    <mergeCell ref="F86:I86"/>
    <mergeCell ref="B87:E87"/>
    <mergeCell ref="F87:I87"/>
    <mergeCell ref="B88:E88"/>
    <mergeCell ref="F88:I88"/>
    <mergeCell ref="B89:E89"/>
    <mergeCell ref="F89:I89"/>
    <mergeCell ref="B90:E90"/>
    <mergeCell ref="F90:I90"/>
    <mergeCell ref="B94:E94"/>
    <mergeCell ref="F94:I94"/>
    <mergeCell ref="B91:E91"/>
    <mergeCell ref="F91:I91"/>
    <mergeCell ref="B92:E92"/>
    <mergeCell ref="F92:I92"/>
    <mergeCell ref="B93:E93"/>
    <mergeCell ref="F93:I93"/>
    <mergeCell ref="W79:X79"/>
    <mergeCell ref="W80:X80"/>
    <mergeCell ref="M80:N80"/>
    <mergeCell ref="S78:T78"/>
    <mergeCell ref="U78:V78"/>
    <mergeCell ref="O80:P80"/>
    <mergeCell ref="AA78:AB78"/>
    <mergeCell ref="AC78:AD78"/>
    <mergeCell ref="M78:N78"/>
    <mergeCell ref="O78:P78"/>
    <mergeCell ref="Q78:R78"/>
    <mergeCell ref="W78:X78"/>
    <mergeCell ref="E5:E7"/>
    <mergeCell ref="F5:F7"/>
    <mergeCell ref="A2:B2"/>
    <mergeCell ref="C2:N2"/>
    <mergeCell ref="Y78:Z78"/>
    <mergeCell ref="C77:D77"/>
    <mergeCell ref="G78:H78"/>
    <mergeCell ref="I78:J78"/>
    <mergeCell ref="K78:L78"/>
    <mergeCell ref="A5:A7"/>
    <mergeCell ref="B5:B7"/>
    <mergeCell ref="C5:D7"/>
  </mergeCells>
  <hyperlinks>
    <hyperlink ref="AF5" location="'Matriz Sta Ana'!A1" display="Volver" xr:uid="{6097297D-7E4B-446D-8E19-F6A481D26A02}"/>
  </hyperlinks>
  <pageMargins left="0.7" right="0.7" top="0.75" bottom="0.75" header="0.3" footer="0.3"/>
  <pageSetup scale="35" fitToHeight="0" orientation="landscape" r:id="rId1"/>
  <rowBreaks count="1" manualBreakCount="1">
    <brk id="81"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32</vt:i4>
      </vt:variant>
      <vt:variant>
        <vt:lpstr>Rangos con nombre</vt:lpstr>
      </vt:variant>
      <vt:variant>
        <vt:i4>29</vt:i4>
      </vt:variant>
    </vt:vector>
  </HeadingPairs>
  <TitlesOfParts>
    <vt:vector size="61" baseType="lpstr">
      <vt:lpstr>Matriz Sta Ana</vt:lpstr>
      <vt:lpstr>EFICACIA</vt:lpstr>
      <vt:lpstr>Presion</vt:lpstr>
      <vt:lpstr>Agua</vt:lpstr>
      <vt:lpstr>Suspension</vt:lpstr>
      <vt:lpstr>IPUF</vt:lpstr>
      <vt:lpstr>IRCA</vt:lpstr>
      <vt:lpstr>Parametros </vt:lpstr>
      <vt:lpstr>Calidad PTAP</vt:lpstr>
      <vt:lpstr>Parametros PTAR</vt:lpstr>
      <vt:lpstr>Calidad PTAR</vt:lpstr>
      <vt:lpstr>Resultado Informe PTAR Anual</vt:lpstr>
      <vt:lpstr>Reclamaciones Alcan 2022</vt:lpstr>
      <vt:lpstr>Reclamaciones Acue- 2022</vt:lpstr>
      <vt:lpstr>Rotacion de Cartera.</vt:lpstr>
      <vt:lpstr>Eficiencia-recaudo Acued 2022</vt:lpstr>
      <vt:lpstr>Eficiencia-recuado Alcan 2022</vt:lpstr>
      <vt:lpstr>Encuestas de satisfacción</vt:lpstr>
      <vt:lpstr>Cumplimiento Legal </vt:lpstr>
      <vt:lpstr>Cumplimiento Capacitaciones</vt:lpstr>
      <vt:lpstr>Cobertura</vt:lpstr>
      <vt:lpstr>Eficacia capac</vt:lpstr>
      <vt:lpstr>Desemp de Proveedores </vt:lpstr>
      <vt:lpstr>Eficaciacap</vt:lpstr>
      <vt:lpstr>Tasa de Accidentalidad </vt:lpstr>
      <vt:lpstr>Indice de Frecuencia</vt:lpstr>
      <vt:lpstr>Indice de Severidad</vt:lpstr>
      <vt:lpstr>Indice de Lesiones Incapacitant</vt:lpstr>
      <vt:lpstr>Enfermedad Laboral</vt:lpstr>
      <vt:lpstr>Ausentismo laboral</vt:lpstr>
      <vt:lpstr>Cantidad de Incidentes</vt:lpstr>
      <vt:lpstr>Rotacion de Cartera</vt:lpstr>
      <vt:lpstr>Agua!Área_de_impresión</vt:lpstr>
      <vt:lpstr>'Ausentismo laboral'!Área_de_impresión</vt:lpstr>
      <vt:lpstr>'Calidad PTAP'!Área_de_impresión</vt:lpstr>
      <vt:lpstr>'Calidad PTAR'!Área_de_impresión</vt:lpstr>
      <vt:lpstr>'Cantidad de Incidentes'!Área_de_impresión</vt:lpstr>
      <vt:lpstr>Cobertura!Área_de_impresión</vt:lpstr>
      <vt:lpstr>'Cumplimiento Capacitaciones'!Área_de_impresión</vt:lpstr>
      <vt:lpstr>'Cumplimiento Legal '!Área_de_impresión</vt:lpstr>
      <vt:lpstr>'Desemp de Proveedores '!Área_de_impresión</vt:lpstr>
      <vt:lpstr>'Eficacia capac'!Área_de_impresión</vt:lpstr>
      <vt:lpstr>Eficaciacap!Área_de_impresión</vt:lpstr>
      <vt:lpstr>'Eficiencia-recaudo Acued 2022'!Área_de_impresión</vt:lpstr>
      <vt:lpstr>'Eficiencia-recuado Alcan 2022'!Área_de_impresión</vt:lpstr>
      <vt:lpstr>'Encuestas de satisfacción'!Área_de_impresión</vt:lpstr>
      <vt:lpstr>'Enfermedad Laboral'!Área_de_impresión</vt:lpstr>
      <vt:lpstr>'Indice de Frecuencia'!Área_de_impresión</vt:lpstr>
      <vt:lpstr>'Indice de Lesiones Incapacitant'!Área_de_impresión</vt:lpstr>
      <vt:lpstr>'Indice de Severidad'!Área_de_impresión</vt:lpstr>
      <vt:lpstr>IPUF!Área_de_impresión</vt:lpstr>
      <vt:lpstr>IRCA!Área_de_impresión</vt:lpstr>
      <vt:lpstr>'Parametros '!Área_de_impresión</vt:lpstr>
      <vt:lpstr>'Parametros PTAR'!Área_de_impresión</vt:lpstr>
      <vt:lpstr>Presion!Área_de_impresión</vt:lpstr>
      <vt:lpstr>'Reclamaciones Acue- 2022'!Área_de_impresión</vt:lpstr>
      <vt:lpstr>'Reclamaciones Alcan 2022'!Área_de_impresión</vt:lpstr>
      <vt:lpstr>'Rotacion de Cartera'!Área_de_impresión</vt:lpstr>
      <vt:lpstr>'Rotacion de Cartera.'!Área_de_impresión</vt:lpstr>
      <vt:lpstr>Suspension!Área_de_impresión</vt:lpstr>
      <vt:lpstr>'Tasa de Accidentalidad '!Área_de_impresión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DIANA MONTAÑO ORTIZ</dc:creator>
  <cp:keywords/>
  <dc:description/>
  <cp:lastModifiedBy>Alexandra Rueda Castillo</cp:lastModifiedBy>
  <cp:revision/>
  <cp:lastPrinted>2019-08-06T16:06:44Z</cp:lastPrinted>
  <dcterms:created xsi:type="dcterms:W3CDTF">2018-02-02T02:27:49Z</dcterms:created>
  <dcterms:modified xsi:type="dcterms:W3CDTF">2022-10-28T13:48:32Z</dcterms:modified>
  <cp:category/>
  <cp:contentStatus/>
</cp:coreProperties>
</file>